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ugh\Documents\Word\Radiology &amp; Oncology Congresses (ROC,ROCE)\Meeting dates, venues, papers\Meeting Papers\ROC-E meetings\ROC-E meeting papers 190325 (25.3.19)\"/>
    </mc:Choice>
  </mc:AlternateContent>
  <xr:revisionPtr revIDLastSave="0" documentId="8_{3913FAFB-4035-45C5-B4B7-0D1E08562B35}" xr6:coauthVersionLast="41" xr6:coauthVersionMax="41" xr10:uidLastSave="{00000000-0000-0000-0000-000000000000}"/>
  <bookViews>
    <workbookView xWindow="-120" yWindow="-120" windowWidth="20730" windowHeight="11160" tabRatio="775" xr2:uid="{00000000-000D-0000-FFFF-FFFF00000000}"/>
  </bookViews>
  <sheets>
    <sheet name="2019 UKIO" sheetId="13" r:id="rId1"/>
    <sheet name="2018 weekly" sheetId="8" r:id="rId2"/>
    <sheet name="Sheet2" sheetId="14" r:id="rId3"/>
    <sheet name="2017 weekly" sheetId="12" r:id="rId4"/>
    <sheet name="2016 weekly" sheetId="11" r:id="rId5"/>
    <sheet name="2015 weekly" sheetId="9" r:id="rId6"/>
    <sheet name="2015 exhib sales" sheetId="10" r:id="rId7"/>
    <sheet name="2014 weekly" sheetId="6" r:id="rId8"/>
    <sheet name="2014 exhib sales" sheetId="7" r:id="rId9"/>
    <sheet name="2013 weekly " sheetId="4" r:id="rId10"/>
    <sheet name="2013 exh sales" sheetId="5" r:id="rId11"/>
    <sheet name="2012 weekly figs" sheetId="1" r:id="rId12"/>
    <sheet name="sales report" sheetId="2" r:id="rId13"/>
    <sheet name="Marketing report 2014" sheetId="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1" i="13" l="1"/>
  <c r="T26" i="13"/>
  <c r="T18" i="13"/>
  <c r="S31" i="13" l="1"/>
  <c r="S26" i="13"/>
  <c r="S18" i="13"/>
  <c r="R18" i="13" l="1"/>
  <c r="R26" i="13"/>
  <c r="R31" i="13"/>
  <c r="Q31" i="13" l="1"/>
  <c r="Q26" i="13"/>
  <c r="Q18" i="13"/>
  <c r="P31" i="13" l="1"/>
  <c r="P26" i="13"/>
  <c r="P18" i="13"/>
  <c r="N18" i="13" l="1"/>
  <c r="N31" i="13"/>
  <c r="N26" i="13"/>
  <c r="M26" i="13" l="1"/>
  <c r="L26" i="13"/>
  <c r="M21" i="13" l="1"/>
  <c r="M31" i="13"/>
  <c r="M18" i="13"/>
  <c r="M2" i="13"/>
  <c r="L21" i="13"/>
  <c r="L2" i="13"/>
  <c r="L31" i="13"/>
  <c r="L18" i="13"/>
  <c r="I26" i="13"/>
  <c r="I36" i="13"/>
  <c r="I35" i="13"/>
  <c r="I34" i="13"/>
  <c r="I18" i="13"/>
  <c r="H79" i="13"/>
  <c r="H50" i="13"/>
  <c r="F50" i="13"/>
  <c r="H49" i="13"/>
  <c r="F49" i="13"/>
  <c r="H48" i="13"/>
  <c r="F48" i="13"/>
  <c r="H47" i="13"/>
  <c r="F47" i="13"/>
  <c r="F44" i="13"/>
  <c r="F43" i="13"/>
  <c r="F42" i="13"/>
  <c r="F41" i="13"/>
  <c r="H36" i="13"/>
  <c r="H35" i="13"/>
  <c r="H34" i="13"/>
  <c r="K31" i="13"/>
  <c r="G26" i="13"/>
  <c r="G30" i="13"/>
  <c r="F21" i="13"/>
  <c r="F31" i="13"/>
  <c r="E31" i="13"/>
  <c r="C21" i="13"/>
  <c r="C31" i="13" s="1"/>
  <c r="B31" i="13"/>
  <c r="K26" i="13"/>
  <c r="H23" i="13"/>
  <c r="H26" i="13" s="1"/>
  <c r="H24" i="13"/>
  <c r="H25" i="13"/>
  <c r="H21" i="13"/>
  <c r="K18" i="13"/>
  <c r="H18" i="13"/>
  <c r="G18" i="13"/>
  <c r="F8" i="13"/>
  <c r="F18" i="13" s="1"/>
  <c r="F14" i="13"/>
  <c r="E18" i="13"/>
  <c r="D18" i="13"/>
  <c r="C15" i="13"/>
  <c r="C18" i="13" s="1"/>
  <c r="B18" i="13"/>
  <c r="AH18" i="8"/>
  <c r="AH12" i="8"/>
  <c r="AF15" i="8"/>
  <c r="AH8" i="8"/>
  <c r="AE8" i="8"/>
  <c r="AE9" i="8"/>
  <c r="AF8" i="8" s="1"/>
  <c r="AF12" i="8"/>
  <c r="AE11" i="8"/>
  <c r="AG12" i="8"/>
  <c r="AI3" i="8"/>
  <c r="AI4" i="8"/>
  <c r="AE102" i="8"/>
  <c r="AE104" i="8" s="1"/>
  <c r="AE95" i="8"/>
  <c r="AE94" i="8"/>
  <c r="AE93" i="8"/>
  <c r="AE92" i="8"/>
  <c r="AE79" i="8"/>
  <c r="AE56" i="8"/>
  <c r="AE53" i="8"/>
  <c r="AE50" i="8"/>
  <c r="AE49" i="8"/>
  <c r="AE48" i="8"/>
  <c r="AE47" i="8"/>
  <c r="AE45" i="8"/>
  <c r="AE46" i="8"/>
  <c r="AE36" i="8"/>
  <c r="AE35" i="8"/>
  <c r="AE34" i="8"/>
  <c r="AE21" i="8"/>
  <c r="AE23" i="8"/>
  <c r="AE26" i="8" s="1"/>
  <c r="AE14" i="8"/>
  <c r="AE15" i="8"/>
  <c r="O2" i="8"/>
  <c r="P2" i="8" s="1"/>
  <c r="Q2" i="8" s="1"/>
  <c r="R2" i="8" s="1"/>
  <c r="S2" i="8" s="1"/>
  <c r="T2" i="8" s="1"/>
  <c r="U2" i="8" s="1"/>
  <c r="V2" i="8" s="1"/>
  <c r="W2" i="8" s="1"/>
  <c r="X2" i="8" s="1"/>
  <c r="Y2" i="8" s="1"/>
  <c r="Z2" i="8" s="1"/>
  <c r="AA2" i="8" s="1"/>
  <c r="AB2" i="8" s="1"/>
  <c r="AC2" i="8" s="1"/>
  <c r="AD2" i="8" s="1"/>
  <c r="AE2" i="8" s="1"/>
  <c r="AD11" i="8"/>
  <c r="AL11" i="8" s="1"/>
  <c r="AK11" i="8"/>
  <c r="AD9" i="8"/>
  <c r="AD8" i="8"/>
  <c r="AK8" i="8"/>
  <c r="AL8" i="8"/>
  <c r="AD23" i="8"/>
  <c r="AD26" i="8" s="1"/>
  <c r="AD36" i="8"/>
  <c r="AD35" i="8"/>
  <c r="AD15" i="8"/>
  <c r="AD14" i="8"/>
  <c r="AD12" i="8"/>
  <c r="AJ14" i="8"/>
  <c r="AD21" i="8"/>
  <c r="AD31" i="8" s="1"/>
  <c r="AC8" i="8"/>
  <c r="AC9" i="8"/>
  <c r="AD34" i="8"/>
  <c r="AD45" i="8"/>
  <c r="AD46" i="8"/>
  <c r="AD47" i="8"/>
  <c r="AD48" i="8"/>
  <c r="AD55" i="8" s="1"/>
  <c r="AD49" i="8"/>
  <c r="AD50" i="8"/>
  <c r="AD53" i="8"/>
  <c r="AD56" i="8"/>
  <c r="AD79" i="8"/>
  <c r="AD92" i="8"/>
  <c r="AD93" i="8"/>
  <c r="AC92" i="8"/>
  <c r="AH93" i="8" s="1"/>
  <c r="AC93" i="8"/>
  <c r="AD94" i="8"/>
  <c r="AC94" i="8"/>
  <c r="AD95" i="8"/>
  <c r="AC95" i="8"/>
  <c r="AD102" i="8"/>
  <c r="AD104" i="8" s="1"/>
  <c r="AH141" i="8"/>
  <c r="AC53" i="8"/>
  <c r="AC50" i="8"/>
  <c r="AC49" i="8"/>
  <c r="AC48" i="8"/>
  <c r="AC47" i="8"/>
  <c r="AC36" i="8"/>
  <c r="AC34" i="8"/>
  <c r="AC35" i="8"/>
  <c r="AC23" i="8"/>
  <c r="AC26" i="8" s="1"/>
  <c r="AC21" i="8"/>
  <c r="AC45" i="8"/>
  <c r="AC56" i="8"/>
  <c r="AC12" i="8"/>
  <c r="AC14" i="8"/>
  <c r="AC15" i="8"/>
  <c r="AC46" i="8"/>
  <c r="AC79" i="8"/>
  <c r="AC102" i="8"/>
  <c r="AC104" i="8" s="1"/>
  <c r="AB8" i="8"/>
  <c r="AB12" i="8"/>
  <c r="AB14" i="8"/>
  <c r="AB15" i="8"/>
  <c r="AB23" i="8"/>
  <c r="AB26" i="8"/>
  <c r="AB34" i="8"/>
  <c r="AB35" i="8"/>
  <c r="AB36" i="8"/>
  <c r="AB45" i="8"/>
  <c r="AB46" i="8" s="1"/>
  <c r="AB47" i="8"/>
  <c r="AB48" i="8"/>
  <c r="AB49" i="8"/>
  <c r="AB50" i="8"/>
  <c r="AB53" i="8"/>
  <c r="AB56" i="8"/>
  <c r="AB79" i="8"/>
  <c r="AB92" i="8"/>
  <c r="AB93" i="8"/>
  <c r="AB94" i="8"/>
  <c r="AB95" i="8"/>
  <c r="AB102" i="8"/>
  <c r="AB104" i="8" s="1"/>
  <c r="AB31" i="8"/>
  <c r="AA11" i="8"/>
  <c r="AA21" i="8"/>
  <c r="AA8" i="8"/>
  <c r="AA12" i="8"/>
  <c r="AA14" i="8"/>
  <c r="AA15" i="8"/>
  <c r="AA23" i="8"/>
  <c r="AA26" i="8" s="1"/>
  <c r="AA34" i="8"/>
  <c r="AA35" i="8"/>
  <c r="AA36" i="8"/>
  <c r="AA45" i="8"/>
  <c r="AA46" i="8" s="1"/>
  <c r="AA47" i="8"/>
  <c r="AA48" i="8"/>
  <c r="AA49" i="8"/>
  <c r="AA50" i="8"/>
  <c r="AA53" i="8"/>
  <c r="AA56" i="8"/>
  <c r="AA79" i="8"/>
  <c r="AA92" i="8"/>
  <c r="AA93" i="8"/>
  <c r="AA94" i="8"/>
  <c r="AA95" i="8"/>
  <c r="AA102" i="8"/>
  <c r="AA104" i="8" s="1"/>
  <c r="Z23" i="8"/>
  <c r="Z26" i="8" s="1"/>
  <c r="H24" i="8"/>
  <c r="Z14" i="8"/>
  <c r="Z8" i="8"/>
  <c r="Z36" i="8"/>
  <c r="Z35" i="8"/>
  <c r="Z12" i="8"/>
  <c r="Z18" i="8" s="1"/>
  <c r="Z21" i="8"/>
  <c r="Z15" i="8"/>
  <c r="Z31" i="8"/>
  <c r="Z34" i="8"/>
  <c r="Z45" i="8"/>
  <c r="Z46" i="8" s="1"/>
  <c r="Z47" i="8"/>
  <c r="Z48" i="8"/>
  <c r="Z49" i="8"/>
  <c r="Z50" i="8"/>
  <c r="Z53" i="8"/>
  <c r="Z56" i="8"/>
  <c r="Z79" i="8"/>
  <c r="Z92" i="8"/>
  <c r="Z93" i="8"/>
  <c r="Z94" i="8"/>
  <c r="Z95" i="8"/>
  <c r="Z102" i="8"/>
  <c r="Z104" i="8" s="1"/>
  <c r="Y23" i="8"/>
  <c r="Y26" i="8" s="1"/>
  <c r="Y34" i="8"/>
  <c r="Y36" i="8"/>
  <c r="Y35" i="8"/>
  <c r="Y8" i="8"/>
  <c r="Y12" i="8"/>
  <c r="Y14" i="8"/>
  <c r="Y15" i="8"/>
  <c r="Y21" i="8"/>
  <c r="Y31" i="8" s="1"/>
  <c r="Y102" i="8"/>
  <c r="Y104" i="8"/>
  <c r="Y95" i="8"/>
  <c r="Y94" i="8"/>
  <c r="Y93" i="8"/>
  <c r="Y92" i="8"/>
  <c r="Y79" i="8"/>
  <c r="Y56" i="8"/>
  <c r="Y53" i="8"/>
  <c r="Y50" i="8"/>
  <c r="Y49" i="8"/>
  <c r="Y48" i="8"/>
  <c r="Y47" i="8"/>
  <c r="Y45" i="8"/>
  <c r="Y46" i="8" s="1"/>
  <c r="X8" i="8"/>
  <c r="X35" i="8"/>
  <c r="X21" i="8"/>
  <c r="X12" i="8"/>
  <c r="X14" i="8"/>
  <c r="X15" i="8"/>
  <c r="X23" i="8"/>
  <c r="X26" i="8" s="1"/>
  <c r="X45" i="8"/>
  <c r="X46" i="8" s="1"/>
  <c r="X47" i="8"/>
  <c r="X48" i="8"/>
  <c r="X49" i="8"/>
  <c r="X50" i="8"/>
  <c r="X53" i="8"/>
  <c r="X56" i="8"/>
  <c r="X79" i="8"/>
  <c r="X92" i="8"/>
  <c r="X93" i="8"/>
  <c r="X94" i="8"/>
  <c r="X95" i="8"/>
  <c r="X102" i="8"/>
  <c r="X104" i="8"/>
  <c r="W23" i="8"/>
  <c r="W26" i="8" s="1"/>
  <c r="W8" i="8"/>
  <c r="W15" i="8"/>
  <c r="W35" i="8"/>
  <c r="W21" i="8"/>
  <c r="W12" i="8"/>
  <c r="W14" i="8"/>
  <c r="W18" i="8"/>
  <c r="W45" i="8"/>
  <c r="W46" i="8"/>
  <c r="W47" i="8"/>
  <c r="W48" i="8"/>
  <c r="W55" i="8" s="1"/>
  <c r="W49" i="8"/>
  <c r="W50" i="8"/>
  <c r="W53" i="8"/>
  <c r="W56" i="8"/>
  <c r="W79" i="8"/>
  <c r="W92" i="8"/>
  <c r="W93" i="8"/>
  <c r="W94" i="8"/>
  <c r="W95" i="8"/>
  <c r="W102" i="8"/>
  <c r="W104" i="8" s="1"/>
  <c r="V8" i="8"/>
  <c r="V56" i="8"/>
  <c r="V53" i="8"/>
  <c r="V50" i="8"/>
  <c r="V49" i="8"/>
  <c r="V48" i="8"/>
  <c r="V47" i="8"/>
  <c r="V12" i="8"/>
  <c r="V45" i="8"/>
  <c r="V46" i="8" s="1"/>
  <c r="V35" i="8"/>
  <c r="V21" i="8"/>
  <c r="V14" i="8"/>
  <c r="V23" i="8"/>
  <c r="V26" i="8" s="1"/>
  <c r="V79" i="8"/>
  <c r="V92" i="8"/>
  <c r="V93" i="8"/>
  <c r="V94" i="8"/>
  <c r="V95" i="8"/>
  <c r="V102" i="8"/>
  <c r="V104" i="8" s="1"/>
  <c r="AA14" i="12"/>
  <c r="U8" i="8"/>
  <c r="U21" i="8"/>
  <c r="U23" i="8"/>
  <c r="U26" i="8"/>
  <c r="U14" i="8"/>
  <c r="U31" i="8"/>
  <c r="U45" i="8"/>
  <c r="U46" i="8"/>
  <c r="U79" i="8"/>
  <c r="U92" i="8"/>
  <c r="U93" i="8"/>
  <c r="U94" i="8"/>
  <c r="U95" i="8"/>
  <c r="U102" i="8"/>
  <c r="U104" i="8" s="1"/>
  <c r="T11" i="8"/>
  <c r="T23" i="8"/>
  <c r="T26" i="8" s="1"/>
  <c r="T21" i="8"/>
  <c r="T14" i="8"/>
  <c r="T45" i="8"/>
  <c r="T46" i="8" s="1"/>
  <c r="T79" i="8"/>
  <c r="T92" i="8"/>
  <c r="T93" i="8"/>
  <c r="T94" i="8"/>
  <c r="T95" i="8"/>
  <c r="T102" i="8"/>
  <c r="T104" i="8" s="1"/>
  <c r="S23" i="8"/>
  <c r="S26" i="8" s="1"/>
  <c r="S11" i="8"/>
  <c r="S14" i="8"/>
  <c r="S18" i="8" s="1"/>
  <c r="S21" i="8"/>
  <c r="S45" i="8"/>
  <c r="S46" i="8"/>
  <c r="S79" i="8"/>
  <c r="S92" i="8"/>
  <c r="S93" i="8"/>
  <c r="S94" i="8"/>
  <c r="S95" i="8"/>
  <c r="S102" i="8"/>
  <c r="S104" i="8" s="1"/>
  <c r="R56" i="8"/>
  <c r="R45" i="8"/>
  <c r="R46" i="8" s="1"/>
  <c r="R21" i="8"/>
  <c r="R23" i="8"/>
  <c r="R26" i="8"/>
  <c r="R18" i="8"/>
  <c r="R102" i="8"/>
  <c r="R104" i="8" s="1"/>
  <c r="R95" i="8"/>
  <c r="R94" i="8"/>
  <c r="R93" i="8"/>
  <c r="R92" i="8"/>
  <c r="R79" i="8"/>
  <c r="Q23" i="8"/>
  <c r="Q26" i="8"/>
  <c r="Q56" i="8"/>
  <c r="Q50" i="8"/>
  <c r="Q49" i="8"/>
  <c r="Q47" i="8"/>
  <c r="Q35" i="8"/>
  <c r="Q45" i="8"/>
  <c r="Q21" i="8"/>
  <c r="Q8" i="8"/>
  <c r="Q18" i="8" s="1"/>
  <c r="Q11" i="8"/>
  <c r="P8" i="8"/>
  <c r="P18" i="8" s="1"/>
  <c r="P11" i="8"/>
  <c r="Q46" i="8"/>
  <c r="Q79" i="8"/>
  <c r="Q92" i="8"/>
  <c r="Q93" i="8"/>
  <c r="Q94" i="8"/>
  <c r="Q95" i="8"/>
  <c r="Q102" i="8"/>
  <c r="Q104" i="8" s="1"/>
  <c r="P21" i="8"/>
  <c r="P31" i="8" s="1"/>
  <c r="P23" i="8"/>
  <c r="P26" i="8"/>
  <c r="P41" i="8"/>
  <c r="P42" i="8"/>
  <c r="P43" i="8"/>
  <c r="P44" i="8"/>
  <c r="P45" i="8"/>
  <c r="P56" i="8"/>
  <c r="P79" i="8"/>
  <c r="P92" i="8"/>
  <c r="P93" i="8"/>
  <c r="P94" i="8"/>
  <c r="P95" i="8"/>
  <c r="P102" i="8"/>
  <c r="P104" i="8" s="1"/>
  <c r="O92" i="8"/>
  <c r="O95" i="8"/>
  <c r="O94" i="8"/>
  <c r="O93" i="8"/>
  <c r="O102" i="8"/>
  <c r="O104" i="8" s="1"/>
  <c r="O45" i="8"/>
  <c r="O44" i="8"/>
  <c r="O43" i="8"/>
  <c r="O41" i="8"/>
  <c r="O42" i="8"/>
  <c r="O79" i="8"/>
  <c r="O11" i="8"/>
  <c r="O18" i="8" s="1"/>
  <c r="O21" i="8"/>
  <c r="O56" i="8"/>
  <c r="O23" i="8"/>
  <c r="O26" i="8" s="1"/>
  <c r="O31" i="8"/>
  <c r="N21" i="8"/>
  <c r="N23" i="8"/>
  <c r="N26" i="8" s="1"/>
  <c r="N11" i="8"/>
  <c r="N18" i="8" s="1"/>
  <c r="M21" i="8"/>
  <c r="M23" i="8"/>
  <c r="M26" i="8"/>
  <c r="M18" i="8"/>
  <c r="L23" i="8"/>
  <c r="I25" i="8"/>
  <c r="I23" i="8"/>
  <c r="I26" i="8" s="1"/>
  <c r="L21" i="8"/>
  <c r="L11" i="8"/>
  <c r="L18" i="8"/>
  <c r="L47" i="8"/>
  <c r="L48" i="8"/>
  <c r="L79" i="8"/>
  <c r="K18" i="8"/>
  <c r="K21" i="8"/>
  <c r="K23" i="8"/>
  <c r="K25" i="8"/>
  <c r="K47" i="8"/>
  <c r="K48" i="8"/>
  <c r="K79" i="8"/>
  <c r="J23" i="8"/>
  <c r="J25" i="8"/>
  <c r="J18" i="8"/>
  <c r="J21" i="8"/>
  <c r="J47" i="8"/>
  <c r="J48" i="8"/>
  <c r="J79" i="8"/>
  <c r="I21" i="8"/>
  <c r="I31" i="8" s="1"/>
  <c r="H79" i="8"/>
  <c r="H50" i="8"/>
  <c r="H49" i="8"/>
  <c r="H48" i="8"/>
  <c r="H47" i="8"/>
  <c r="H36" i="8"/>
  <c r="H35" i="8"/>
  <c r="H34" i="8"/>
  <c r="H23" i="8"/>
  <c r="H26" i="8" s="1"/>
  <c r="H25" i="8"/>
  <c r="H21" i="8"/>
  <c r="H18" i="8"/>
  <c r="I79" i="8"/>
  <c r="F50" i="8"/>
  <c r="F49" i="8"/>
  <c r="I48" i="8"/>
  <c r="F48" i="8"/>
  <c r="I47" i="8"/>
  <c r="F47" i="8"/>
  <c r="F44" i="8"/>
  <c r="F43" i="8"/>
  <c r="F42" i="8"/>
  <c r="F41" i="8"/>
  <c r="G26" i="8"/>
  <c r="G30" i="8"/>
  <c r="F21" i="8"/>
  <c r="F31" i="8" s="1"/>
  <c r="E31" i="8"/>
  <c r="C21" i="8"/>
  <c r="C31" i="8"/>
  <c r="B31" i="8"/>
  <c r="I18" i="8"/>
  <c r="G18" i="8"/>
  <c r="F8" i="8"/>
  <c r="F14" i="8"/>
  <c r="E18" i="8"/>
  <c r="D18" i="8"/>
  <c r="C15" i="8"/>
  <c r="C18" i="8" s="1"/>
  <c r="B18" i="8"/>
  <c r="Z9" i="12"/>
  <c r="Z8" i="12"/>
  <c r="Z12" i="12"/>
  <c r="Z14" i="12"/>
  <c r="Z34" i="12"/>
  <c r="Z35" i="12"/>
  <c r="Z36" i="12"/>
  <c r="Z21" i="12"/>
  <c r="I2" i="12"/>
  <c r="J2" i="12" s="1"/>
  <c r="K2" i="12" s="1"/>
  <c r="L2" i="12" s="1"/>
  <c r="M2" i="12" s="1"/>
  <c r="N2" i="12" s="1"/>
  <c r="O2" i="12" s="1"/>
  <c r="P2" i="12" s="1"/>
  <c r="Q2" i="12" s="1"/>
  <c r="R2" i="12" s="1"/>
  <c r="S2" i="12" s="1"/>
  <c r="T2" i="12" s="1"/>
  <c r="U2" i="12" s="1"/>
  <c r="V2" i="12" s="1"/>
  <c r="W2" i="12" s="1"/>
  <c r="X2" i="12" s="1"/>
  <c r="Y2" i="12" s="1"/>
  <c r="Z2" i="12" s="1"/>
  <c r="AA4" i="12"/>
  <c r="AA5" i="12"/>
  <c r="Y8" i="12"/>
  <c r="AA8" i="12"/>
  <c r="Y9" i="12"/>
  <c r="AB15" i="12"/>
  <c r="Z23" i="12"/>
  <c r="Z24" i="12"/>
  <c r="Z25" i="12"/>
  <c r="Y21" i="12"/>
  <c r="Y23" i="12"/>
  <c r="Y24" i="12"/>
  <c r="Y25" i="12"/>
  <c r="Z45" i="12"/>
  <c r="Z46" i="12"/>
  <c r="Z47" i="12"/>
  <c r="Z48" i="12"/>
  <c r="Z77" i="12"/>
  <c r="AA91" i="12"/>
  <c r="AA92" i="12"/>
  <c r="AA93" i="12"/>
  <c r="Y11" i="12"/>
  <c r="Y12" i="12"/>
  <c r="Y16" i="12"/>
  <c r="Y14" i="12"/>
  <c r="Y17" i="12"/>
  <c r="Y45" i="12"/>
  <c r="Y46" i="12"/>
  <c r="Y47" i="12"/>
  <c r="Y48" i="12"/>
  <c r="Y77" i="12"/>
  <c r="X11" i="12"/>
  <c r="X9" i="12"/>
  <c r="X8" i="12"/>
  <c r="X23" i="12"/>
  <c r="X25" i="12"/>
  <c r="X24" i="12"/>
  <c r="X21" i="12"/>
  <c r="X31" i="12" s="1"/>
  <c r="X12" i="12"/>
  <c r="X14" i="12"/>
  <c r="X15" i="12"/>
  <c r="X17" i="12"/>
  <c r="X45" i="12"/>
  <c r="X46" i="12"/>
  <c r="X47" i="12"/>
  <c r="X48" i="12"/>
  <c r="X77" i="12"/>
  <c r="W24" i="12"/>
  <c r="W21" i="12"/>
  <c r="W8" i="12"/>
  <c r="W9" i="12"/>
  <c r="W11" i="12"/>
  <c r="W12" i="12"/>
  <c r="W14" i="12"/>
  <c r="W15" i="12"/>
  <c r="W17" i="12"/>
  <c r="W23" i="12"/>
  <c r="W25" i="12"/>
  <c r="W45" i="12"/>
  <c r="W46" i="12"/>
  <c r="W47" i="12"/>
  <c r="W48" i="12"/>
  <c r="W77" i="12"/>
  <c r="AC8" i="11"/>
  <c r="AC9" i="11"/>
  <c r="AE9" i="11" s="1"/>
  <c r="AB8" i="11"/>
  <c r="AB9" i="11"/>
  <c r="AD8" i="11"/>
  <c r="AD11" i="11"/>
  <c r="AD13" i="11"/>
  <c r="AD12" i="11" s="1"/>
  <c r="AD14" i="11"/>
  <c r="AD16" i="11"/>
  <c r="V11" i="12"/>
  <c r="AA8" i="11"/>
  <c r="AA9" i="11"/>
  <c r="AA10" i="11" s="1"/>
  <c r="AA12" i="11"/>
  <c r="AA14" i="11"/>
  <c r="Z8" i="11"/>
  <c r="Z9" i="11"/>
  <c r="V48" i="12"/>
  <c r="V47" i="12"/>
  <c r="V46" i="12"/>
  <c r="V45" i="12"/>
  <c r="V8" i="12"/>
  <c r="V9" i="12"/>
  <c r="V15" i="12"/>
  <c r="V34" i="12"/>
  <c r="V21" i="12"/>
  <c r="V23" i="12"/>
  <c r="V25" i="12"/>
  <c r="V26" i="12"/>
  <c r="V77" i="12"/>
  <c r="U8" i="12"/>
  <c r="U11" i="12"/>
  <c r="U9" i="12"/>
  <c r="U18" i="12" s="1"/>
  <c r="U21" i="12"/>
  <c r="Y8" i="11"/>
  <c r="Y10" i="11" s="1"/>
  <c r="Y18" i="11" s="1"/>
  <c r="U34" i="12"/>
  <c r="U25" i="12"/>
  <c r="U77" i="12"/>
  <c r="U48" i="12"/>
  <c r="U47" i="12"/>
  <c r="U46" i="12"/>
  <c r="U45" i="12"/>
  <c r="U23" i="12"/>
  <c r="X35" i="11"/>
  <c r="AC23" i="11"/>
  <c r="AC25" i="11"/>
  <c r="AC29" i="11"/>
  <c r="AB23" i="11"/>
  <c r="AB25" i="11"/>
  <c r="AB29" i="11"/>
  <c r="AB32" i="11" s="1"/>
  <c r="AA23" i="11"/>
  <c r="AA25" i="11"/>
  <c r="AA29" i="11"/>
  <c r="Z23" i="11"/>
  <c r="Z25" i="11"/>
  <c r="Z29" i="11"/>
  <c r="Y23" i="11"/>
  <c r="Y25" i="11"/>
  <c r="Y29" i="11"/>
  <c r="T21" i="12"/>
  <c r="T8" i="12"/>
  <c r="T9" i="12"/>
  <c r="T11" i="12"/>
  <c r="T23" i="12"/>
  <c r="T26" i="12" s="1"/>
  <c r="T25" i="12"/>
  <c r="T31" i="12"/>
  <c r="T34" i="12"/>
  <c r="T45" i="12"/>
  <c r="T46" i="12"/>
  <c r="T47" i="12"/>
  <c r="T48" i="12"/>
  <c r="T77" i="12"/>
  <c r="X23" i="11"/>
  <c r="X25" i="11"/>
  <c r="S25" i="12"/>
  <c r="X8" i="11"/>
  <c r="S34" i="12"/>
  <c r="S9" i="12"/>
  <c r="S11" i="12"/>
  <c r="S21" i="12"/>
  <c r="S23" i="12"/>
  <c r="S26" i="12" s="1"/>
  <c r="S77" i="12"/>
  <c r="S48" i="12"/>
  <c r="S47" i="12"/>
  <c r="S46" i="12"/>
  <c r="S45" i="12"/>
  <c r="R11" i="12"/>
  <c r="R9" i="12"/>
  <c r="R8" i="12"/>
  <c r="R18" i="12" s="1"/>
  <c r="R93" i="12"/>
  <c r="R92" i="12"/>
  <c r="R21" i="12"/>
  <c r="Q8" i="12"/>
  <c r="Q9" i="12"/>
  <c r="R23" i="12"/>
  <c r="R25" i="12"/>
  <c r="R26" i="12" s="1"/>
  <c r="Q23" i="12"/>
  <c r="Q25" i="12"/>
  <c r="R77" i="12"/>
  <c r="V23" i="11"/>
  <c r="V25" i="11"/>
  <c r="Q21" i="12"/>
  <c r="Q31" i="12" s="1"/>
  <c r="Q45" i="12"/>
  <c r="Q46" i="12"/>
  <c r="Q47" i="12"/>
  <c r="Q48" i="12"/>
  <c r="Q77" i="12"/>
  <c r="P23" i="12"/>
  <c r="P25" i="12"/>
  <c r="P48" i="12"/>
  <c r="P47" i="12"/>
  <c r="P46" i="12"/>
  <c r="P45" i="12"/>
  <c r="P42" i="12"/>
  <c r="P21" i="12"/>
  <c r="P9" i="12"/>
  <c r="P8" i="12"/>
  <c r="P77" i="12"/>
  <c r="U23" i="11"/>
  <c r="U25" i="11"/>
  <c r="O23" i="12"/>
  <c r="O9" i="12"/>
  <c r="O21" i="12"/>
  <c r="O8" i="12"/>
  <c r="O25" i="12"/>
  <c r="O45" i="12"/>
  <c r="O46" i="12"/>
  <c r="O47" i="12"/>
  <c r="O48" i="12"/>
  <c r="O77" i="12"/>
  <c r="T23" i="11"/>
  <c r="T32" i="11" s="1"/>
  <c r="T25" i="11"/>
  <c r="N21" i="12"/>
  <c r="N23" i="12"/>
  <c r="N25" i="12"/>
  <c r="N26" i="12" s="1"/>
  <c r="N8" i="12"/>
  <c r="N18" i="12"/>
  <c r="N45" i="12"/>
  <c r="N46" i="12"/>
  <c r="N47" i="12"/>
  <c r="N48" i="12"/>
  <c r="N77" i="12"/>
  <c r="R23" i="11"/>
  <c r="R32" i="11" s="1"/>
  <c r="R25" i="11"/>
  <c r="M25" i="12"/>
  <c r="M21" i="12"/>
  <c r="M31" i="12" s="1"/>
  <c r="M8" i="12"/>
  <c r="Q23" i="11"/>
  <c r="Q32" i="11" s="1"/>
  <c r="Q25" i="11"/>
  <c r="M23" i="12"/>
  <c r="M18" i="12"/>
  <c r="M26" i="12"/>
  <c r="M45" i="12"/>
  <c r="M46" i="12"/>
  <c r="M47" i="12"/>
  <c r="M48" i="12"/>
  <c r="M77" i="12"/>
  <c r="P32" i="11"/>
  <c r="L21" i="12"/>
  <c r="L31" i="12" s="1"/>
  <c r="L23" i="12"/>
  <c r="L25" i="12"/>
  <c r="L8" i="12"/>
  <c r="L18" i="12" s="1"/>
  <c r="L45" i="12"/>
  <c r="L46" i="12"/>
  <c r="L47" i="12"/>
  <c r="L48" i="12"/>
  <c r="L77" i="12"/>
  <c r="O29" i="11"/>
  <c r="O32" i="11" s="1"/>
  <c r="M23" i="11"/>
  <c r="M29" i="11"/>
  <c r="K8" i="12"/>
  <c r="K18" i="12" s="1"/>
  <c r="K21" i="12"/>
  <c r="K23" i="12"/>
  <c r="K26" i="12" s="1"/>
  <c r="K25" i="12"/>
  <c r="K45" i="12"/>
  <c r="K46" i="12"/>
  <c r="K47" i="12"/>
  <c r="K48" i="12"/>
  <c r="K77" i="12"/>
  <c r="J8" i="12"/>
  <c r="J18" i="12"/>
  <c r="J21" i="12"/>
  <c r="J25" i="12"/>
  <c r="J23" i="12"/>
  <c r="J45" i="12"/>
  <c r="J46" i="12"/>
  <c r="J47" i="12"/>
  <c r="J48" i="12"/>
  <c r="J77" i="12"/>
  <c r="I77" i="12"/>
  <c r="I47" i="12"/>
  <c r="I48" i="12"/>
  <c r="I45" i="12"/>
  <c r="I46" i="12"/>
  <c r="I21" i="12"/>
  <c r="I23" i="12"/>
  <c r="I25" i="12"/>
  <c r="I31" i="12" s="1"/>
  <c r="I8" i="12"/>
  <c r="I9" i="12"/>
  <c r="H9" i="12"/>
  <c r="H8" i="12"/>
  <c r="J23" i="11"/>
  <c r="J25" i="11"/>
  <c r="J29" i="11"/>
  <c r="H21" i="12"/>
  <c r="H23" i="12"/>
  <c r="H25" i="12"/>
  <c r="H31" i="12" s="1"/>
  <c r="H77" i="12"/>
  <c r="H46" i="12"/>
  <c r="H45" i="12"/>
  <c r="F48" i="12"/>
  <c r="F47" i="12"/>
  <c r="F46" i="12"/>
  <c r="F45" i="12"/>
  <c r="F42" i="12"/>
  <c r="F41" i="12"/>
  <c r="F40" i="12"/>
  <c r="F39" i="12"/>
  <c r="G26" i="12"/>
  <c r="G30" i="12"/>
  <c r="F21" i="12"/>
  <c r="F31" i="12" s="1"/>
  <c r="E31" i="12"/>
  <c r="C21" i="12"/>
  <c r="C31" i="12" s="1"/>
  <c r="B31" i="12"/>
  <c r="G18" i="12"/>
  <c r="F8" i="12"/>
  <c r="F18" i="12" s="1"/>
  <c r="F14" i="12"/>
  <c r="E18" i="12"/>
  <c r="D18" i="12"/>
  <c r="C15" i="12"/>
  <c r="C18" i="12" s="1"/>
  <c r="B18" i="12"/>
  <c r="G26" i="11"/>
  <c r="G30" i="11"/>
  <c r="G18" i="11"/>
  <c r="AD88" i="11"/>
  <c r="AD45" i="11"/>
  <c r="AD46" i="11"/>
  <c r="AD47" i="11"/>
  <c r="AD56" i="11" s="1"/>
  <c r="AD48" i="11"/>
  <c r="AD49" i="11"/>
  <c r="AD35" i="11"/>
  <c r="AD34" i="11"/>
  <c r="AD21" i="11"/>
  <c r="AD23" i="11"/>
  <c r="AD25" i="11"/>
  <c r="AD26" i="11" s="1"/>
  <c r="AD22" i="11"/>
  <c r="AD29" i="11"/>
  <c r="I2" i="11"/>
  <c r="J2" i="11"/>
  <c r="K2" i="11" s="1"/>
  <c r="L2" i="11" s="1"/>
  <c r="M2" i="11" s="1"/>
  <c r="N2" i="11" s="1"/>
  <c r="O2" i="11" s="1"/>
  <c r="P2" i="11" s="1"/>
  <c r="Q2" i="11" s="1"/>
  <c r="R2" i="11" s="1"/>
  <c r="S2" i="11" s="1"/>
  <c r="T2" i="11" s="1"/>
  <c r="U2" i="11" s="1"/>
  <c r="V2" i="11" s="1"/>
  <c r="W2" i="11" s="1"/>
  <c r="X2" i="11" s="1"/>
  <c r="Y2" i="11" s="1"/>
  <c r="Z2" i="11" s="1"/>
  <c r="AA2" i="11" s="1"/>
  <c r="AB2" i="11" s="1"/>
  <c r="AC2" i="11" s="1"/>
  <c r="AD2" i="11" s="1"/>
  <c r="AF9" i="11"/>
  <c r="AG17" i="11"/>
  <c r="AG18" i="11"/>
  <c r="AG19" i="11"/>
  <c r="AC11" i="11"/>
  <c r="AC16" i="11"/>
  <c r="AC13" i="11"/>
  <c r="AC12" i="11" s="1"/>
  <c r="AC14" i="11"/>
  <c r="AC21" i="11"/>
  <c r="AC26" i="11" s="1"/>
  <c r="AC22" i="11"/>
  <c r="AC88" i="11"/>
  <c r="AC45" i="11"/>
  <c r="AC46" i="11"/>
  <c r="AC47" i="11"/>
  <c r="AC48" i="11"/>
  <c r="AC49" i="11"/>
  <c r="AC35" i="11"/>
  <c r="AC34" i="11"/>
  <c r="AB16" i="11"/>
  <c r="AB14" i="11"/>
  <c r="AB13" i="11"/>
  <c r="AB12" i="11" s="1"/>
  <c r="AB21" i="11"/>
  <c r="AB26" i="11" s="1"/>
  <c r="AB22" i="11"/>
  <c r="AB30" i="11" s="1"/>
  <c r="AB88" i="11"/>
  <c r="AB45" i="11"/>
  <c r="AB46" i="11"/>
  <c r="AB47" i="11"/>
  <c r="AB48" i="11"/>
  <c r="AB49" i="11"/>
  <c r="AB35" i="11"/>
  <c r="AB34" i="11"/>
  <c r="AA35" i="11"/>
  <c r="AA34" i="11"/>
  <c r="AA22" i="11"/>
  <c r="AA21" i="11"/>
  <c r="AA26" i="11" s="1"/>
  <c r="AA88" i="11"/>
  <c r="AA45" i="11"/>
  <c r="AA46" i="11"/>
  <c r="AA47" i="11"/>
  <c r="AA48" i="11"/>
  <c r="AA49" i="11"/>
  <c r="Z11" i="11"/>
  <c r="Y47" i="11"/>
  <c r="Y46" i="11"/>
  <c r="Y45" i="11"/>
  <c r="Z48" i="11"/>
  <c r="Z49" i="11"/>
  <c r="Z47" i="11"/>
  <c r="Z46" i="11"/>
  <c r="Z45" i="11"/>
  <c r="Z35" i="11"/>
  <c r="Z16" i="11"/>
  <c r="Z22" i="11"/>
  <c r="Z21" i="11"/>
  <c r="Z26" i="11"/>
  <c r="Z88" i="11"/>
  <c r="Z30" i="11"/>
  <c r="Z12" i="11"/>
  <c r="Z14" i="11"/>
  <c r="Y22" i="11"/>
  <c r="Y12" i="11"/>
  <c r="Y14" i="11"/>
  <c r="Y16" i="11"/>
  <c r="Y21" i="11"/>
  <c r="Y26" i="11" s="1"/>
  <c r="Y88" i="11"/>
  <c r="X12" i="11"/>
  <c r="X14" i="11"/>
  <c r="X16" i="11"/>
  <c r="X22" i="11"/>
  <c r="X30" i="11" s="1"/>
  <c r="X21" i="11"/>
  <c r="X88" i="11"/>
  <c r="X45" i="11"/>
  <c r="X46" i="11"/>
  <c r="X47" i="11"/>
  <c r="X56" i="11" s="1"/>
  <c r="X48" i="11"/>
  <c r="W9" i="11"/>
  <c r="W22" i="11"/>
  <c r="W30" i="11" s="1"/>
  <c r="W31" i="11" s="1"/>
  <c r="W14" i="11"/>
  <c r="W8" i="11"/>
  <c r="W21" i="11"/>
  <c r="W88" i="11"/>
  <c r="W60" i="11"/>
  <c r="W59" i="11"/>
  <c r="W45" i="11"/>
  <c r="W46" i="11"/>
  <c r="W47" i="11"/>
  <c r="W48" i="11"/>
  <c r="W34" i="11"/>
  <c r="W23" i="11"/>
  <c r="W26" i="11" s="1"/>
  <c r="W25" i="11"/>
  <c r="W12" i="11"/>
  <c r="W16" i="11"/>
  <c r="V88" i="11"/>
  <c r="U88" i="11"/>
  <c r="U47" i="11"/>
  <c r="U46" i="11"/>
  <c r="U45" i="11"/>
  <c r="V60" i="11"/>
  <c r="V59" i="11"/>
  <c r="V8" i="11"/>
  <c r="V9" i="11"/>
  <c r="V12" i="11"/>
  <c r="V14" i="11"/>
  <c r="V21" i="11"/>
  <c r="V26" i="11" s="1"/>
  <c r="V22" i="11"/>
  <c r="V30" i="11" s="1"/>
  <c r="V34" i="11"/>
  <c r="V16" i="11"/>
  <c r="Q19" i="9"/>
  <c r="Q23" i="9" s="1"/>
  <c r="Q24" i="9" s="1"/>
  <c r="V45" i="11"/>
  <c r="V46" i="11"/>
  <c r="V47" i="11"/>
  <c r="V48" i="11"/>
  <c r="U9" i="11"/>
  <c r="U8" i="11"/>
  <c r="U18" i="11" s="1"/>
  <c r="U12" i="11"/>
  <c r="U14" i="11"/>
  <c r="U22" i="11"/>
  <c r="U30" i="11" s="1"/>
  <c r="U21" i="11"/>
  <c r="U16" i="11"/>
  <c r="T16" i="11"/>
  <c r="T12" i="11"/>
  <c r="T8" i="11"/>
  <c r="T21" i="11"/>
  <c r="T22" i="11"/>
  <c r="T30" i="11" s="1"/>
  <c r="T31" i="11" s="1"/>
  <c r="T9" i="11"/>
  <c r="T26" i="11"/>
  <c r="T14" i="11"/>
  <c r="S25" i="11"/>
  <c r="S16" i="11"/>
  <c r="S14" i="11"/>
  <c r="S12" i="11"/>
  <c r="S8" i="11"/>
  <c r="S22" i="11"/>
  <c r="S30" i="11" s="1"/>
  <c r="S31" i="11" s="1"/>
  <c r="S21" i="11"/>
  <c r="S26" i="11" s="1"/>
  <c r="S23" i="11"/>
  <c r="N19" i="9"/>
  <c r="N23" i="9" s="1"/>
  <c r="N24" i="9" s="1"/>
  <c r="R22" i="11"/>
  <c r="R30" i="11" s="1"/>
  <c r="R21" i="11"/>
  <c r="R26" i="11" s="1"/>
  <c r="R8" i="11"/>
  <c r="R16" i="11"/>
  <c r="R31" i="11"/>
  <c r="R14" i="11"/>
  <c r="R18" i="11"/>
  <c r="Q22" i="11"/>
  <c r="Q14" i="11"/>
  <c r="Q18" i="11" s="1"/>
  <c r="Q8" i="11"/>
  <c r="Q21" i="11"/>
  <c r="Q26" i="11" s="1"/>
  <c r="Q31" i="11" s="1"/>
  <c r="Q30" i="11"/>
  <c r="Q16" i="11"/>
  <c r="P22" i="11"/>
  <c r="P30" i="11" s="1"/>
  <c r="N29" i="11"/>
  <c r="N22" i="11"/>
  <c r="N30" i="11" s="1"/>
  <c r="N31" i="11" s="1"/>
  <c r="P8" i="11"/>
  <c r="P14" i="11"/>
  <c r="P21" i="11"/>
  <c r="P26" i="11" s="1"/>
  <c r="P16" i="11"/>
  <c r="O22" i="11"/>
  <c r="O30" i="11"/>
  <c r="O21" i="11"/>
  <c r="O26" i="11" s="1"/>
  <c r="O18" i="11"/>
  <c r="K19" i="9"/>
  <c r="K23" i="9" s="1"/>
  <c r="K24" i="9" s="1"/>
  <c r="N21" i="11"/>
  <c r="N26" i="11" s="1"/>
  <c r="N18" i="11"/>
  <c r="J19" i="9"/>
  <c r="J23" i="9" s="1"/>
  <c r="J24" i="9" s="1"/>
  <c r="M22" i="11"/>
  <c r="M21" i="11"/>
  <c r="M26" i="11" s="1"/>
  <c r="M18" i="11"/>
  <c r="L22" i="11"/>
  <c r="L29" i="11"/>
  <c r="L21" i="11"/>
  <c r="L23" i="11"/>
  <c r="L25" i="11"/>
  <c r="L18" i="11"/>
  <c r="I19" i="9"/>
  <c r="I23" i="9" s="1"/>
  <c r="I24" i="9" s="1"/>
  <c r="K21" i="11"/>
  <c r="K23" i="11"/>
  <c r="K25" i="11"/>
  <c r="K26" i="11" s="1"/>
  <c r="K31" i="11" s="1"/>
  <c r="K22" i="11"/>
  <c r="K30" i="11" s="1"/>
  <c r="K29" i="11"/>
  <c r="K18" i="11"/>
  <c r="H19" i="9"/>
  <c r="H23" i="9" s="1"/>
  <c r="H24" i="9" s="1"/>
  <c r="J22" i="11"/>
  <c r="J21" i="11"/>
  <c r="J18" i="11"/>
  <c r="I21" i="11"/>
  <c r="I31" i="11" s="1"/>
  <c r="I18" i="11"/>
  <c r="H21" i="11"/>
  <c r="H31" i="11" s="1"/>
  <c r="F48" i="11"/>
  <c r="F47" i="11"/>
  <c r="F46" i="11"/>
  <c r="F45" i="11"/>
  <c r="F42" i="11"/>
  <c r="F41" i="11"/>
  <c r="F40" i="11"/>
  <c r="F39" i="11"/>
  <c r="F21" i="11"/>
  <c r="F31" i="11"/>
  <c r="F8" i="11"/>
  <c r="F18" i="11" s="1"/>
  <c r="F14" i="11"/>
  <c r="E31" i="11"/>
  <c r="C21" i="11"/>
  <c r="C31" i="11" s="1"/>
  <c r="B31" i="11"/>
  <c r="H18" i="11"/>
  <c r="E18" i="11"/>
  <c r="D18" i="11"/>
  <c r="C15" i="11"/>
  <c r="C18" i="11" s="1"/>
  <c r="B18" i="11"/>
  <c r="AA7" i="9"/>
  <c r="AD7" i="9"/>
  <c r="AA12" i="9"/>
  <c r="AA16" i="9" s="1"/>
  <c r="AA33" i="9"/>
  <c r="AA32" i="9"/>
  <c r="AA31" i="9"/>
  <c r="AA30" i="9"/>
  <c r="AA19" i="9"/>
  <c r="AA23" i="9" s="1"/>
  <c r="AD9" i="9"/>
  <c r="G2" i="9"/>
  <c r="H2" i="9" s="1"/>
  <c r="I2" i="9" s="1"/>
  <c r="J2" i="9" s="1"/>
  <c r="K2" i="9" s="1"/>
  <c r="L2" i="9" s="1"/>
  <c r="M2" i="9" s="1"/>
  <c r="N2" i="9" s="1"/>
  <c r="O2" i="9" s="1"/>
  <c r="P2" i="9" s="1"/>
  <c r="Q2" i="9" s="1"/>
  <c r="R2" i="9" s="1"/>
  <c r="S2" i="9" s="1"/>
  <c r="T2" i="9" s="1"/>
  <c r="U2" i="9" s="1"/>
  <c r="V2" i="9" s="1"/>
  <c r="W2" i="9" s="1"/>
  <c r="X2" i="9" s="1"/>
  <c r="Y2" i="9" s="1"/>
  <c r="Z2" i="9" s="1"/>
  <c r="AA2" i="9" s="1"/>
  <c r="AA39" i="9"/>
  <c r="AA38" i="9"/>
  <c r="AA37" i="9"/>
  <c r="AA36" i="9"/>
  <c r="AB4" i="9"/>
  <c r="Z7" i="9"/>
  <c r="AB7" i="9" s="1"/>
  <c r="AB9" i="9"/>
  <c r="Z19" i="9"/>
  <c r="AB19" i="9" s="1"/>
  <c r="AB20" i="9"/>
  <c r="AB21" i="9"/>
  <c r="AB22" i="9"/>
  <c r="AB23" i="9"/>
  <c r="AC37" i="9"/>
  <c r="AD37" i="9"/>
  <c r="AC38" i="9"/>
  <c r="AD38" i="9" s="1"/>
  <c r="AC39" i="9"/>
  <c r="AD39" i="9" s="1"/>
  <c r="Z39" i="9"/>
  <c r="Z38" i="9"/>
  <c r="Z37" i="9"/>
  <c r="Z36" i="9"/>
  <c r="Z33" i="9"/>
  <c r="Z32" i="9"/>
  <c r="Z31" i="9"/>
  <c r="Z30" i="9"/>
  <c r="Z12" i="9"/>
  <c r="Y7" i="9"/>
  <c r="Y12" i="9"/>
  <c r="Y19" i="9"/>
  <c r="Y23" i="9"/>
  <c r="Y39" i="9"/>
  <c r="Y38" i="9"/>
  <c r="Y37" i="9"/>
  <c r="Y36" i="9"/>
  <c r="Y33" i="9"/>
  <c r="Y32" i="9"/>
  <c r="Y31" i="9"/>
  <c r="Y30" i="9"/>
  <c r="X33" i="9"/>
  <c r="X31" i="9"/>
  <c r="X32" i="9"/>
  <c r="X30" i="9"/>
  <c r="X7" i="9"/>
  <c r="X16" i="9" s="1"/>
  <c r="X12" i="9"/>
  <c r="X39" i="9"/>
  <c r="X38" i="9"/>
  <c r="X37" i="9"/>
  <c r="X36" i="9"/>
  <c r="X19" i="9"/>
  <c r="X23" i="9"/>
  <c r="W7" i="9"/>
  <c r="W16" i="9" s="1"/>
  <c r="W12" i="9"/>
  <c r="W19" i="9"/>
  <c r="W23" i="9" s="1"/>
  <c r="W39" i="9"/>
  <c r="W38" i="9"/>
  <c r="W37" i="9"/>
  <c r="W36" i="9"/>
  <c r="V7" i="9"/>
  <c r="V16" i="9" s="1"/>
  <c r="V12" i="9"/>
  <c r="V19" i="9"/>
  <c r="V23" i="9" s="1"/>
  <c r="V39" i="9"/>
  <c r="V38" i="9"/>
  <c r="V37" i="9"/>
  <c r="V36" i="9"/>
  <c r="U39" i="9"/>
  <c r="U38" i="9"/>
  <c r="U37" i="9"/>
  <c r="U36" i="9"/>
  <c r="U7" i="9"/>
  <c r="U12" i="9"/>
  <c r="U19" i="9"/>
  <c r="U23" i="9"/>
  <c r="T7" i="9"/>
  <c r="T19" i="9"/>
  <c r="T23" i="9" s="1"/>
  <c r="T12" i="9"/>
  <c r="T16" i="9"/>
  <c r="S12" i="9"/>
  <c r="S19" i="9"/>
  <c r="S23" i="9" s="1"/>
  <c r="S16" i="9"/>
  <c r="R19" i="9"/>
  <c r="R23" i="9" s="1"/>
  <c r="R39" i="9"/>
  <c r="R38" i="9"/>
  <c r="R37" i="9"/>
  <c r="R36" i="9"/>
  <c r="R12" i="9"/>
  <c r="R16" i="9" s="1"/>
  <c r="Q39" i="9"/>
  <c r="Q38" i="9"/>
  <c r="Q37" i="9"/>
  <c r="Q36" i="9"/>
  <c r="Q12" i="9"/>
  <c r="Q16" i="9" s="1"/>
  <c r="P39" i="9"/>
  <c r="P38" i="9"/>
  <c r="P37" i="9"/>
  <c r="P36" i="9"/>
  <c r="G103" i="10"/>
  <c r="G105" i="10" s="1"/>
  <c r="P12" i="9"/>
  <c r="P19" i="9"/>
  <c r="P23" i="9"/>
  <c r="P16" i="9"/>
  <c r="O19" i="9"/>
  <c r="O23" i="9" s="1"/>
  <c r="O12" i="9"/>
  <c r="O16" i="9" s="1"/>
  <c r="N12" i="9"/>
  <c r="N16" i="9" s="1"/>
  <c r="M19" i="9"/>
  <c r="M23" i="9" s="1"/>
  <c r="M12" i="9"/>
  <c r="M16" i="9" s="1"/>
  <c r="L19" i="9"/>
  <c r="L23" i="9" s="1"/>
  <c r="L12" i="9"/>
  <c r="L16" i="9" s="1"/>
  <c r="K16" i="9"/>
  <c r="H6" i="10"/>
  <c r="H103" i="10" s="1"/>
  <c r="F103" i="10"/>
  <c r="C2" i="10" s="1"/>
  <c r="G2" i="10" s="1"/>
  <c r="J16" i="9"/>
  <c r="G19" i="9"/>
  <c r="G23" i="9" s="1"/>
  <c r="G16" i="9"/>
  <c r="J25" i="10"/>
  <c r="F4" i="10"/>
  <c r="C4" i="10" s="1"/>
  <c r="K3" i="10"/>
  <c r="F20" i="9"/>
  <c r="F19" i="9"/>
  <c r="E23" i="9"/>
  <c r="E16" i="9"/>
  <c r="C19" i="9"/>
  <c r="C23" i="9" s="1"/>
  <c r="B23" i="9"/>
  <c r="F16" i="9"/>
  <c r="D16" i="9"/>
  <c r="C13" i="9"/>
  <c r="C16" i="9" s="1"/>
  <c r="B16" i="9"/>
  <c r="AF12" i="6"/>
  <c r="AF7" i="6"/>
  <c r="AF10" i="6"/>
  <c r="AF13" i="6"/>
  <c r="AF19" i="6"/>
  <c r="AG19" i="6" s="1"/>
  <c r="AE19" i="6"/>
  <c r="AF20" i="6"/>
  <c r="AF22" i="6"/>
  <c r="AH20" i="6" s="1"/>
  <c r="AG4" i="6"/>
  <c r="AE7" i="6"/>
  <c r="AG9" i="6"/>
  <c r="AG15" i="6"/>
  <c r="AE20" i="6"/>
  <c r="AE22" i="6"/>
  <c r="AG30" i="6"/>
  <c r="AF31" i="6"/>
  <c r="AG31" i="6" s="1"/>
  <c r="AG32" i="6"/>
  <c r="AF33" i="6"/>
  <c r="AG33" i="6" s="1"/>
  <c r="B43" i="3"/>
  <c r="C43" i="3" s="1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AF34" i="6"/>
  <c r="C23" i="3"/>
  <c r="C22" i="3"/>
  <c r="C21" i="3"/>
  <c r="C20" i="3"/>
  <c r="B24" i="3"/>
  <c r="AF61" i="6"/>
  <c r="F2" i="6"/>
  <c r="G2" i="6" s="1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W2" i="6" s="1"/>
  <c r="X2" i="6" s="1"/>
  <c r="Y2" i="6" s="1"/>
  <c r="Z2" i="6" s="1"/>
  <c r="AA2" i="6" s="1"/>
  <c r="AB2" i="6" s="1"/>
  <c r="AC2" i="6" s="1"/>
  <c r="AD2" i="6" s="1"/>
  <c r="AE2" i="6" s="1"/>
  <c r="AF2" i="6" s="1"/>
  <c r="AD24" i="4"/>
  <c r="AE10" i="6"/>
  <c r="AE39" i="6"/>
  <c r="AE38" i="6"/>
  <c r="AE37" i="6"/>
  <c r="AE36" i="6"/>
  <c r="AE16" i="6"/>
  <c r="AD22" i="6"/>
  <c r="AD19" i="6"/>
  <c r="AD23" i="6" s="1"/>
  <c r="AD20" i="6"/>
  <c r="AD39" i="6"/>
  <c r="AD38" i="6"/>
  <c r="AD37" i="6"/>
  <c r="AD36" i="6"/>
  <c r="AD15" i="6"/>
  <c r="AD16" i="6" s="1"/>
  <c r="AC19" i="6"/>
  <c r="AB19" i="4"/>
  <c r="AB20" i="4"/>
  <c r="AB22" i="4"/>
  <c r="AC20" i="6"/>
  <c r="AC22" i="6"/>
  <c r="AC15" i="6"/>
  <c r="AC39" i="6"/>
  <c r="AC38" i="6"/>
  <c r="AC37" i="6"/>
  <c r="AC36" i="6"/>
  <c r="AC16" i="6"/>
  <c r="AE23" i="1"/>
  <c r="AF20" i="4"/>
  <c r="AF22" i="4"/>
  <c r="AG22" i="4"/>
  <c r="AB22" i="6"/>
  <c r="AB23" i="6" s="1"/>
  <c r="AB19" i="6"/>
  <c r="AB20" i="6"/>
  <c r="AB39" i="6"/>
  <c r="AB38" i="6"/>
  <c r="AB37" i="6"/>
  <c r="AB36" i="6"/>
  <c r="AB16" i="6"/>
  <c r="AA39" i="6"/>
  <c r="AA38" i="6"/>
  <c r="AA37" i="6"/>
  <c r="AA36" i="6"/>
  <c r="AA19" i="6"/>
  <c r="AA20" i="6"/>
  <c r="AA22" i="6"/>
  <c r="AA16" i="6"/>
  <c r="Z39" i="6"/>
  <c r="Z36" i="6"/>
  <c r="Z37" i="6"/>
  <c r="Z38" i="6"/>
  <c r="Z19" i="6"/>
  <c r="Z22" i="6"/>
  <c r="Z20" i="6"/>
  <c r="Z16" i="6"/>
  <c r="Y19" i="6"/>
  <c r="Y39" i="6"/>
  <c r="Y38" i="6"/>
  <c r="Y37" i="6"/>
  <c r="Y36" i="6"/>
  <c r="Y22" i="6"/>
  <c r="Y20" i="6"/>
  <c r="Y16" i="6"/>
  <c r="X39" i="6"/>
  <c r="X37" i="6"/>
  <c r="X38" i="6"/>
  <c r="X36" i="6"/>
  <c r="X10" i="6"/>
  <c r="X16" i="6" s="1"/>
  <c r="X19" i="6"/>
  <c r="X22" i="6"/>
  <c r="X20" i="6"/>
  <c r="W19" i="6"/>
  <c r="W22" i="6"/>
  <c r="W20" i="6"/>
  <c r="W16" i="6"/>
  <c r="V19" i="6"/>
  <c r="S19" i="4"/>
  <c r="V22" i="6"/>
  <c r="V20" i="6"/>
  <c r="V23" i="6" s="1"/>
  <c r="V16" i="6"/>
  <c r="U19" i="6"/>
  <c r="U20" i="6"/>
  <c r="U22" i="6"/>
  <c r="U16" i="6"/>
  <c r="T22" i="6"/>
  <c r="T19" i="6"/>
  <c r="T16" i="6"/>
  <c r="T20" i="6"/>
  <c r="S19" i="6"/>
  <c r="S16" i="6"/>
  <c r="S20" i="6"/>
  <c r="S22" i="6"/>
  <c r="R19" i="6"/>
  <c r="R20" i="6"/>
  <c r="R22" i="6"/>
  <c r="R16" i="6"/>
  <c r="Q20" i="6"/>
  <c r="Q19" i="6"/>
  <c r="Q22" i="6"/>
  <c r="Q23" i="6"/>
  <c r="Q16" i="6"/>
  <c r="P19" i="6"/>
  <c r="P22" i="6"/>
  <c r="P20" i="6"/>
  <c r="P23" i="6" s="1"/>
  <c r="P16" i="6"/>
  <c r="O22" i="6"/>
  <c r="O20" i="6"/>
  <c r="O19" i="6"/>
  <c r="O23" i="6" s="1"/>
  <c r="O16" i="6"/>
  <c r="N19" i="6"/>
  <c r="N23" i="6" s="1"/>
  <c r="N16" i="6"/>
  <c r="K19" i="4"/>
  <c r="K20" i="4"/>
  <c r="K22" i="4"/>
  <c r="M19" i="6"/>
  <c r="M23" i="6" s="1"/>
  <c r="M16" i="6"/>
  <c r="L19" i="6"/>
  <c r="L23" i="6"/>
  <c r="L16" i="6"/>
  <c r="J26" i="7"/>
  <c r="K16" i="6"/>
  <c r="K19" i="6"/>
  <c r="K23" i="6"/>
  <c r="J16" i="6"/>
  <c r="J19" i="6"/>
  <c r="J23" i="6"/>
  <c r="I20" i="6"/>
  <c r="I19" i="6"/>
  <c r="I23" i="6" s="1"/>
  <c r="G89" i="7"/>
  <c r="G23" i="6"/>
  <c r="H20" i="6"/>
  <c r="H19" i="6"/>
  <c r="F16" i="6"/>
  <c r="F19" i="6"/>
  <c r="F23" i="6" s="1"/>
  <c r="E19" i="6"/>
  <c r="E23" i="6"/>
  <c r="H89" i="7"/>
  <c r="C2" i="7" s="1"/>
  <c r="F89" i="7"/>
  <c r="F4" i="7"/>
  <c r="C4" i="7"/>
  <c r="K3" i="7"/>
  <c r="E16" i="6"/>
  <c r="D16" i="6"/>
  <c r="B23" i="6"/>
  <c r="C19" i="6"/>
  <c r="C23" i="6" s="1"/>
  <c r="B16" i="6"/>
  <c r="C13" i="6"/>
  <c r="C16" i="6" s="1"/>
  <c r="AF33" i="4"/>
  <c r="AF19" i="4"/>
  <c r="AF23" i="4" s="1"/>
  <c r="AF10" i="4"/>
  <c r="AF13" i="4"/>
  <c r="AF16" i="4"/>
  <c r="C19" i="4"/>
  <c r="C23" i="4" s="1"/>
  <c r="AF40" i="4"/>
  <c r="AF39" i="4"/>
  <c r="AF38" i="4"/>
  <c r="AF37" i="4"/>
  <c r="AF36" i="4"/>
  <c r="E2" i="4"/>
  <c r="F2" i="4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F2" i="4" s="1"/>
  <c r="AD13" i="4"/>
  <c r="AD10" i="4"/>
  <c r="AD7" i="4"/>
  <c r="AE22" i="4"/>
  <c r="AD19" i="4"/>
  <c r="AD40" i="4"/>
  <c r="AD39" i="4"/>
  <c r="AD38" i="4"/>
  <c r="AD37" i="4"/>
  <c r="AD36" i="4"/>
  <c r="AD31" i="4"/>
  <c r="AE4" i="4"/>
  <c r="AE8" i="4"/>
  <c r="AE9" i="4"/>
  <c r="AE11" i="4"/>
  <c r="AE12" i="4"/>
  <c r="AE13" i="4"/>
  <c r="AE14" i="4"/>
  <c r="AE15" i="4"/>
  <c r="F10" i="5"/>
  <c r="G10" i="5"/>
  <c r="G73" i="5"/>
  <c r="G99" i="5"/>
  <c r="H8" i="5"/>
  <c r="H99" i="5" s="1"/>
  <c r="AD23" i="4"/>
  <c r="AC40" i="4"/>
  <c r="AC39" i="4"/>
  <c r="AC38" i="4"/>
  <c r="AC37" i="4"/>
  <c r="AC36" i="4"/>
  <c r="AC8" i="1"/>
  <c r="AB8" i="1"/>
  <c r="AB11" i="1"/>
  <c r="AB12" i="1"/>
  <c r="AD8" i="1"/>
  <c r="AD10" i="1"/>
  <c r="AC19" i="1"/>
  <c r="AB19" i="1"/>
  <c r="AD22" i="1"/>
  <c r="AD27" i="1"/>
  <c r="AD28" i="1"/>
  <c r="AD31" i="1"/>
  <c r="AD32" i="1"/>
  <c r="AD33" i="1"/>
  <c r="AD34" i="1"/>
  <c r="AC36" i="1"/>
  <c r="AB36" i="1"/>
  <c r="AD36" i="1" s="1"/>
  <c r="AC37" i="1"/>
  <c r="AB37" i="1"/>
  <c r="AC38" i="1"/>
  <c r="AB38" i="1"/>
  <c r="AC39" i="1"/>
  <c r="AB39" i="1"/>
  <c r="AD39" i="1"/>
  <c r="AC40" i="1"/>
  <c r="AD40" i="1" s="1"/>
  <c r="AB40" i="1"/>
  <c r="AC10" i="4"/>
  <c r="AC7" i="4"/>
  <c r="AC19" i="4"/>
  <c r="AC23" i="4" s="1"/>
  <c r="AC31" i="4"/>
  <c r="AB7" i="4"/>
  <c r="AB10" i="4"/>
  <c r="AB40" i="4"/>
  <c r="AB39" i="4"/>
  <c r="AB38" i="4"/>
  <c r="AB37" i="4"/>
  <c r="AB36" i="4"/>
  <c r="AB31" i="4"/>
  <c r="AA9" i="4"/>
  <c r="AA7" i="4"/>
  <c r="AA19" i="4"/>
  <c r="AA40" i="4"/>
  <c r="AA39" i="4"/>
  <c r="AA38" i="4"/>
  <c r="AA37" i="4"/>
  <c r="AA36" i="4"/>
  <c r="AA31" i="4"/>
  <c r="AA22" i="4"/>
  <c r="AA20" i="4"/>
  <c r="AA14" i="4"/>
  <c r="AA10" i="4"/>
  <c r="Z40" i="4"/>
  <c r="Z39" i="4"/>
  <c r="Z38" i="4"/>
  <c r="Z37" i="4"/>
  <c r="Z36" i="4"/>
  <c r="X19" i="1"/>
  <c r="X23" i="1" s="1"/>
  <c r="Z14" i="4"/>
  <c r="Z7" i="4"/>
  <c r="Z16" i="4" s="1"/>
  <c r="Z10" i="4"/>
  <c r="Z19" i="4"/>
  <c r="Z20" i="4"/>
  <c r="Z22" i="4"/>
  <c r="Z31" i="4"/>
  <c r="Y14" i="4"/>
  <c r="Y7" i="4"/>
  <c r="Y16" i="4" s="1"/>
  <c r="Y10" i="4"/>
  <c r="Y31" i="4"/>
  <c r="Y19" i="4"/>
  <c r="Y22" i="4"/>
  <c r="Y20" i="4"/>
  <c r="X7" i="4"/>
  <c r="X19" i="4"/>
  <c r="X31" i="4"/>
  <c r="X14" i="4"/>
  <c r="X10" i="4"/>
  <c r="X16" i="4"/>
  <c r="X22" i="4"/>
  <c r="X20" i="4"/>
  <c r="W19" i="4"/>
  <c r="W40" i="4"/>
  <c r="W39" i="4"/>
  <c r="W38" i="4"/>
  <c r="W37" i="4"/>
  <c r="W36" i="4"/>
  <c r="W22" i="4"/>
  <c r="W20" i="4"/>
  <c r="W23" i="4" s="1"/>
  <c r="W16" i="4"/>
  <c r="U25" i="1"/>
  <c r="V19" i="4"/>
  <c r="V40" i="4"/>
  <c r="V39" i="4"/>
  <c r="V38" i="4"/>
  <c r="V37" i="4"/>
  <c r="V36" i="4"/>
  <c r="V22" i="4"/>
  <c r="V20" i="4"/>
  <c r="V16" i="4"/>
  <c r="U40" i="4"/>
  <c r="U39" i="4"/>
  <c r="U38" i="4"/>
  <c r="U37" i="4"/>
  <c r="U36" i="4"/>
  <c r="U19" i="4"/>
  <c r="U20" i="4"/>
  <c r="U22" i="4"/>
  <c r="T22" i="4"/>
  <c r="U16" i="4"/>
  <c r="T40" i="4"/>
  <c r="T39" i="4"/>
  <c r="T38" i="4"/>
  <c r="T37" i="4"/>
  <c r="T36" i="4"/>
  <c r="T19" i="4"/>
  <c r="T20" i="4"/>
  <c r="T16" i="4"/>
  <c r="S22" i="4"/>
  <c r="S20" i="4"/>
  <c r="S16" i="4"/>
  <c r="F7" i="5"/>
  <c r="F99" i="5"/>
  <c r="R22" i="1"/>
  <c r="R25" i="1" s="1"/>
  <c r="R19" i="4"/>
  <c r="R23" i="4"/>
  <c r="R16" i="4"/>
  <c r="Q19" i="4"/>
  <c r="Q23" i="4"/>
  <c r="Q16" i="4"/>
  <c r="P19" i="4"/>
  <c r="P23" i="4" s="1"/>
  <c r="P16" i="4"/>
  <c r="N19" i="4"/>
  <c r="N23" i="4" s="1"/>
  <c r="O19" i="4"/>
  <c r="O23" i="4" s="1"/>
  <c r="O16" i="4"/>
  <c r="M19" i="1"/>
  <c r="M23" i="1" s="1"/>
  <c r="M22" i="1"/>
  <c r="N16" i="4"/>
  <c r="M19" i="4"/>
  <c r="M23" i="4"/>
  <c r="M16" i="4"/>
  <c r="L22" i="4"/>
  <c r="L20" i="4"/>
  <c r="L19" i="4"/>
  <c r="L16" i="4"/>
  <c r="K16" i="4"/>
  <c r="J19" i="4"/>
  <c r="J22" i="4"/>
  <c r="J20" i="4"/>
  <c r="J16" i="4"/>
  <c r="I22" i="4"/>
  <c r="I19" i="4"/>
  <c r="I20" i="4"/>
  <c r="I16" i="4"/>
  <c r="H22" i="4"/>
  <c r="H20" i="4"/>
  <c r="H23" i="4" s="1"/>
  <c r="H19" i="4"/>
  <c r="H16" i="4"/>
  <c r="G19" i="4"/>
  <c r="G23" i="4" s="1"/>
  <c r="G22" i="4"/>
  <c r="G20" i="4"/>
  <c r="G16" i="4"/>
  <c r="E19" i="4"/>
  <c r="E23" i="4" s="1"/>
  <c r="E22" i="4"/>
  <c r="F22" i="4"/>
  <c r="F19" i="4"/>
  <c r="F16" i="4"/>
  <c r="E16" i="4"/>
  <c r="D19" i="4"/>
  <c r="F4" i="5"/>
  <c r="C4" i="5" s="1"/>
  <c r="J3" i="5"/>
  <c r="D22" i="4"/>
  <c r="D23" i="4" s="1"/>
  <c r="C13" i="4"/>
  <c r="C16" i="4" s="1"/>
  <c r="B23" i="4"/>
  <c r="D16" i="4"/>
  <c r="B16" i="4"/>
  <c r="AC12" i="1"/>
  <c r="AC15" i="1" s="1"/>
  <c r="AC11" i="1"/>
  <c r="D2" i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G101" i="2"/>
  <c r="AB23" i="1"/>
  <c r="AA40" i="1"/>
  <c r="AA39" i="1"/>
  <c r="AA38" i="1"/>
  <c r="AA37" i="1"/>
  <c r="AA36" i="1"/>
  <c r="AA9" i="1"/>
  <c r="AA11" i="1"/>
  <c r="AA12" i="1"/>
  <c r="AA8" i="1"/>
  <c r="AA19" i="1"/>
  <c r="AA23" i="1"/>
  <c r="H8" i="2"/>
  <c r="Z8" i="1"/>
  <c r="Z15" i="1" s="1"/>
  <c r="Z40" i="1"/>
  <c r="Z39" i="1"/>
  <c r="Z38" i="1"/>
  <c r="Z37" i="1"/>
  <c r="Z36" i="1"/>
  <c r="Z19" i="1"/>
  <c r="Z23" i="1" s="1"/>
  <c r="Y40" i="1"/>
  <c r="Y39" i="1"/>
  <c r="Y38" i="1"/>
  <c r="Y37" i="1"/>
  <c r="Y36" i="1"/>
  <c r="Y8" i="1"/>
  <c r="Y15" i="1" s="1"/>
  <c r="Y19" i="1"/>
  <c r="Y23" i="1" s="1"/>
  <c r="X8" i="1"/>
  <c r="X15" i="1" s="1"/>
  <c r="X40" i="1"/>
  <c r="X39" i="1"/>
  <c r="X38" i="1"/>
  <c r="X37" i="1"/>
  <c r="X36" i="1"/>
  <c r="W39" i="1"/>
  <c r="W38" i="1"/>
  <c r="W37" i="1"/>
  <c r="W36" i="1"/>
  <c r="W8" i="1"/>
  <c r="W15" i="1"/>
  <c r="W19" i="1"/>
  <c r="W23" i="1" s="1"/>
  <c r="V39" i="1"/>
  <c r="V38" i="1"/>
  <c r="V37" i="1"/>
  <c r="V36" i="1"/>
  <c r="V19" i="1"/>
  <c r="V15" i="1"/>
  <c r="V23" i="1"/>
  <c r="U36" i="1"/>
  <c r="U39" i="1"/>
  <c r="U38" i="1"/>
  <c r="U37" i="1"/>
  <c r="U10" i="1"/>
  <c r="U8" i="1"/>
  <c r="U19" i="1"/>
  <c r="U23" i="1"/>
  <c r="H61" i="2"/>
  <c r="T39" i="1"/>
  <c r="T38" i="1"/>
  <c r="T37" i="1"/>
  <c r="T36" i="1"/>
  <c r="T19" i="1"/>
  <c r="T22" i="1"/>
  <c r="T15" i="1"/>
  <c r="S10" i="1"/>
  <c r="S15" i="1" s="1"/>
  <c r="S39" i="1"/>
  <c r="S38" i="1"/>
  <c r="S37" i="1"/>
  <c r="S36" i="1"/>
  <c r="S19" i="1"/>
  <c r="S22" i="1"/>
  <c r="R19" i="1"/>
  <c r="R23" i="1" s="1"/>
  <c r="R8" i="1"/>
  <c r="R10" i="1"/>
  <c r="R39" i="1"/>
  <c r="R38" i="1"/>
  <c r="R37" i="1"/>
  <c r="R36" i="1"/>
  <c r="Q39" i="1"/>
  <c r="Q38" i="1"/>
  <c r="Q37" i="1"/>
  <c r="Q36" i="1"/>
  <c r="Q10" i="1"/>
  <c r="Q15" i="1" s="1"/>
  <c r="Q19" i="1"/>
  <c r="Q23" i="1" s="1"/>
  <c r="P10" i="1"/>
  <c r="P8" i="1" s="1"/>
  <c r="P15" i="1" s="1"/>
  <c r="P19" i="1"/>
  <c r="P23" i="1" s="1"/>
  <c r="P36" i="1"/>
  <c r="P37" i="1"/>
  <c r="P38" i="1"/>
  <c r="P39" i="1"/>
  <c r="O39" i="1"/>
  <c r="O38" i="1"/>
  <c r="O37" i="1"/>
  <c r="O36" i="1"/>
  <c r="O19" i="1"/>
  <c r="O23" i="1" s="1"/>
  <c r="O15" i="1"/>
  <c r="N38" i="1"/>
  <c r="N36" i="1"/>
  <c r="N8" i="1"/>
  <c r="N19" i="1"/>
  <c r="N22" i="1"/>
  <c r="N39" i="1"/>
  <c r="N37" i="1"/>
  <c r="N15" i="1"/>
  <c r="M39" i="1"/>
  <c r="M38" i="1"/>
  <c r="M36" i="1"/>
  <c r="M8" i="1"/>
  <c r="M15" i="1" s="1"/>
  <c r="M37" i="1"/>
  <c r="L8" i="1"/>
  <c r="L15" i="1" s="1"/>
  <c r="L19" i="1"/>
  <c r="L23" i="1" s="1"/>
  <c r="J101" i="2"/>
  <c r="J3" i="2" s="1"/>
  <c r="L38" i="1"/>
  <c r="L37" i="1"/>
  <c r="L36" i="1"/>
  <c r="L22" i="1"/>
  <c r="K8" i="1"/>
  <c r="K15" i="1"/>
  <c r="K38" i="1"/>
  <c r="K37" i="1"/>
  <c r="K36" i="1"/>
  <c r="K19" i="1"/>
  <c r="K23" i="1" s="1"/>
  <c r="K22" i="1"/>
  <c r="J22" i="1"/>
  <c r="J8" i="1"/>
  <c r="J15" i="1" s="1"/>
  <c r="J19" i="1"/>
  <c r="I8" i="1"/>
  <c r="I15" i="1"/>
  <c r="I38" i="1"/>
  <c r="I37" i="1"/>
  <c r="I36" i="1"/>
  <c r="I19" i="1"/>
  <c r="I23" i="1" s="1"/>
  <c r="H4" i="2"/>
  <c r="C4" i="2"/>
  <c r="G102" i="2"/>
  <c r="H19" i="1"/>
  <c r="H23" i="1" s="1"/>
  <c r="H15" i="1"/>
  <c r="G23" i="1"/>
  <c r="G15" i="1"/>
  <c r="F23" i="1"/>
  <c r="F15" i="1"/>
  <c r="E19" i="1"/>
  <c r="E23" i="1" s="1"/>
  <c r="E15" i="1"/>
  <c r="I101" i="2"/>
  <c r="H101" i="2"/>
  <c r="H102" i="2" s="1"/>
  <c r="F101" i="2"/>
  <c r="C2" i="2" s="1"/>
  <c r="H2" i="2" s="1"/>
  <c r="F102" i="2"/>
  <c r="D23" i="1"/>
  <c r="D15" i="1"/>
  <c r="B23" i="1"/>
  <c r="C15" i="1"/>
  <c r="B15" i="1"/>
  <c r="C23" i="1"/>
  <c r="AD16" i="4"/>
  <c r="S23" i="6"/>
  <c r="J23" i="4"/>
  <c r="T23" i="4"/>
  <c r="AA15" i="1"/>
  <c r="AD37" i="1"/>
  <c r="G2" i="7"/>
  <c r="AC23" i="6"/>
  <c r="AH7" i="6"/>
  <c r="AD30" i="11"/>
  <c r="AE30" i="11" s="1"/>
  <c r="V18" i="8"/>
  <c r="X10" i="11"/>
  <c r="X18" i="11"/>
  <c r="AF23" i="6"/>
  <c r="AG7" i="6"/>
  <c r="V56" i="11"/>
  <c r="Z31" i="11"/>
  <c r="J26" i="12"/>
  <c r="J31" i="12"/>
  <c r="Q26" i="12"/>
  <c r="S18" i="12"/>
  <c r="T18" i="12"/>
  <c r="X18" i="12"/>
  <c r="Z23" i="9"/>
  <c r="O26" i="12"/>
  <c r="O31" i="12"/>
  <c r="AB10" i="11"/>
  <c r="AB18" i="11"/>
  <c r="AE8" i="11"/>
  <c r="K26" i="8"/>
  <c r="M31" i="8"/>
  <c r="Q31" i="8"/>
  <c r="R31" i="8"/>
  <c r="V55" i="8"/>
  <c r="AC7" i="9"/>
  <c r="H26" i="12"/>
  <c r="K31" i="12"/>
  <c r="F18" i="8"/>
  <c r="J26" i="8"/>
  <c r="K31" i="8"/>
  <c r="S31" i="8"/>
  <c r="AK26" i="8" l="1"/>
  <c r="AL26" i="8"/>
  <c r="AF11" i="8"/>
  <c r="AG9" i="8"/>
  <c r="U23" i="4"/>
  <c r="W23" i="6"/>
  <c r="V31" i="11"/>
  <c r="W56" i="11"/>
  <c r="J30" i="11"/>
  <c r="Q18" i="12"/>
  <c r="Y32" i="11"/>
  <c r="Y31" i="12"/>
  <c r="AA32" i="12" s="1"/>
  <c r="N31" i="8"/>
  <c r="O46" i="8"/>
  <c r="T31" i="8"/>
  <c r="AB18" i="8"/>
  <c r="AC31" i="8"/>
  <c r="AC55" i="8"/>
  <c r="AH94" i="8"/>
  <c r="AC18" i="8"/>
  <c r="C2" i="5"/>
  <c r="T18" i="11"/>
  <c r="J26" i="11"/>
  <c r="J31" i="11" s="1"/>
  <c r="N23" i="1"/>
  <c r="S23" i="1"/>
  <c r="F23" i="4"/>
  <c r="V23" i="4"/>
  <c r="AB16" i="4"/>
  <c r="AC16" i="4"/>
  <c r="AE16" i="4" s="1"/>
  <c r="AD38" i="1"/>
  <c r="AE7" i="4"/>
  <c r="T23" i="6"/>
  <c r="Y23" i="6"/>
  <c r="Z23" i="6"/>
  <c r="AA23" i="6"/>
  <c r="AG22" i="6"/>
  <c r="AF16" i="6"/>
  <c r="F23" i="9"/>
  <c r="P18" i="11"/>
  <c r="S18" i="11"/>
  <c r="Z56" i="11"/>
  <c r="G31" i="11"/>
  <c r="I18" i="12"/>
  <c r="L26" i="12"/>
  <c r="P31" i="12"/>
  <c r="W26" i="12"/>
  <c r="G31" i="8"/>
  <c r="X18" i="8"/>
  <c r="AA31" i="8"/>
  <c r="AH95" i="8"/>
  <c r="J23" i="1"/>
  <c r="R15" i="1"/>
  <c r="T23" i="1"/>
  <c r="U15" i="1"/>
  <c r="L23" i="4"/>
  <c r="AA16" i="4"/>
  <c r="H23" i="6"/>
  <c r="L30" i="11"/>
  <c r="V18" i="11"/>
  <c r="Y56" i="11"/>
  <c r="N31" i="12"/>
  <c r="O18" i="12"/>
  <c r="Z32" i="11"/>
  <c r="X55" i="8"/>
  <c r="AA23" i="4"/>
  <c r="M32" i="11"/>
  <c r="M30" i="11"/>
  <c r="U32" i="11"/>
  <c r="U26" i="11"/>
  <c r="U31" i="11" s="1"/>
  <c r="R31" i="12"/>
  <c r="AA32" i="11"/>
  <c r="AA30" i="11"/>
  <c r="AA31" i="11" s="1"/>
  <c r="AF11" i="11"/>
  <c r="AE11" i="11"/>
  <c r="W31" i="12"/>
  <c r="AL9" i="8"/>
  <c r="AH10" i="8"/>
  <c r="AK9" i="8"/>
  <c r="AD18" i="8"/>
  <c r="G2" i="5"/>
  <c r="X23" i="6"/>
  <c r="AA55" i="8"/>
  <c r="I23" i="4"/>
  <c r="X23" i="4"/>
  <c r="Y23" i="4"/>
  <c r="Z23" i="4"/>
  <c r="AE10" i="4"/>
  <c r="AC23" i="1"/>
  <c r="AD19" i="1"/>
  <c r="U23" i="6"/>
  <c r="AC40" i="9"/>
  <c r="AC32" i="11"/>
  <c r="AC30" i="11"/>
  <c r="U31" i="12"/>
  <c r="U26" i="12"/>
  <c r="P46" i="8"/>
  <c r="U18" i="8"/>
  <c r="AH9" i="8"/>
  <c r="F101" i="5"/>
  <c r="S23" i="4"/>
  <c r="AB15" i="1"/>
  <c r="AE19" i="4"/>
  <c r="K23" i="4"/>
  <c r="R23" i="6"/>
  <c r="AE23" i="6"/>
  <c r="AC56" i="11"/>
  <c r="AD31" i="11"/>
  <c r="X32" i="11"/>
  <c r="X26" i="11"/>
  <c r="X31" i="11" s="1"/>
  <c r="AC10" i="11"/>
  <c r="AC18" i="11" s="1"/>
  <c r="Z26" i="12"/>
  <c r="Y55" i="8"/>
  <c r="Y18" i="8"/>
  <c r="AE31" i="8"/>
  <c r="G31" i="13"/>
  <c r="Y26" i="12"/>
  <c r="J32" i="11"/>
  <c r="AB31" i="11"/>
  <c r="G31" i="12"/>
  <c r="AD10" i="11"/>
  <c r="AD18" i="11" s="1"/>
  <c r="AF8" i="11"/>
  <c r="AF21" i="11"/>
  <c r="Y18" i="12"/>
  <c r="AG18" i="8"/>
  <c r="AB23" i="4"/>
  <c r="M31" i="11"/>
  <c r="W18" i="11"/>
  <c r="Y30" i="11"/>
  <c r="Y31" i="11" s="1"/>
  <c r="AB56" i="11"/>
  <c r="AC31" i="11"/>
  <c r="AE12" i="11"/>
  <c r="AE25" i="11"/>
  <c r="AA18" i="11"/>
  <c r="AA10" i="12"/>
  <c r="AA21" i="12" s="1"/>
  <c r="Z18" i="12"/>
  <c r="Z55" i="8"/>
  <c r="Z31" i="12"/>
  <c r="U16" i="9"/>
  <c r="Y16" i="9"/>
  <c r="O31" i="11"/>
  <c r="P31" i="11"/>
  <c r="H18" i="12"/>
  <c r="P26" i="12"/>
  <c r="V31" i="12"/>
  <c r="V18" i="12"/>
  <c r="W18" i="12"/>
  <c r="X26" i="12"/>
  <c r="L26" i="8"/>
  <c r="L31" i="8"/>
  <c r="V31" i="8"/>
  <c r="Z16" i="9"/>
  <c r="L26" i="11"/>
  <c r="L31" i="11" s="1"/>
  <c r="I26" i="12"/>
  <c r="S31" i="12"/>
  <c r="AA9" i="12"/>
  <c r="J31" i="8"/>
  <c r="T18" i="8"/>
  <c r="X31" i="8"/>
  <c r="AA18" i="8"/>
  <c r="AB55" i="8"/>
  <c r="AA56" i="11"/>
  <c r="P18" i="12"/>
  <c r="V32" i="11"/>
  <c r="Z10" i="11"/>
  <c r="Z18" i="11" s="1"/>
  <c r="W31" i="8"/>
  <c r="AE55" i="8"/>
  <c r="AE18" i="8"/>
  <c r="AH11" i="8" l="1"/>
  <c r="AH21" i="8"/>
  <c r="AK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</author>
  </authors>
  <commentList>
    <comment ref="H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Sue:</t>
        </r>
        <r>
          <rPr>
            <sz val="9"/>
            <color indexed="81"/>
            <rFont val="Tahoma"/>
            <family val="2"/>
          </rPr>
          <t xml:space="preserve">
obc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</author>
  </authors>
  <commentList>
    <comment ref="H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Sue:</t>
        </r>
        <r>
          <rPr>
            <sz val="9"/>
            <color indexed="81"/>
            <rFont val="Tahoma"/>
            <family val="2"/>
          </rPr>
          <t xml:space="preserve">
obc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</author>
  </authors>
  <commentList>
    <comment ref="F7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Sue:</t>
        </r>
        <r>
          <rPr>
            <sz val="9"/>
            <color indexed="81"/>
            <rFont val="Tahoma"/>
            <family val="2"/>
          </rPr>
          <t xml:space="preserve">
Lanyards
</t>
        </r>
      </text>
    </comment>
    <comment ref="H9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Sue:</t>
        </r>
        <r>
          <rPr>
            <sz val="9"/>
            <color indexed="81"/>
            <rFont val="Tahoma"/>
            <family val="2"/>
          </rPr>
          <t xml:space="preserve">
obc
</t>
        </r>
      </text>
    </comment>
    <comment ref="F10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Sue:</t>
        </r>
        <r>
          <rPr>
            <sz val="9"/>
            <color indexed="81"/>
            <rFont val="Tahoma"/>
            <family val="2"/>
          </rPr>
          <t xml:space="preserve">
Bags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Sue</author>
  </authors>
  <commentList>
    <comment ref="H8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outside back cover</t>
        </r>
      </text>
    </comment>
    <comment ref="F12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Sue:</t>
        </r>
        <r>
          <rPr>
            <sz val="9"/>
            <color indexed="81"/>
            <rFont val="Tahoma"/>
            <family val="2"/>
          </rPr>
          <t xml:space="preserve">
LANYARDS
</t>
        </r>
      </text>
    </comment>
    <comment ref="F13" authorId="1" shapeId="0" xr:uid="{00000000-0006-0000-0A00-000003000000}">
      <text>
        <r>
          <rPr>
            <b/>
            <sz val="9"/>
            <color indexed="81"/>
            <rFont val="Tahoma"/>
            <family val="2"/>
          </rPr>
          <t>Sue:</t>
        </r>
        <r>
          <rPr>
            <sz val="9"/>
            <color indexed="81"/>
            <rFont val="Tahoma"/>
            <family val="2"/>
          </rPr>
          <t xml:space="preserve">
DINNER
</t>
        </r>
      </text>
    </comment>
    <comment ref="F19" authorId="1" shapeId="0" xr:uid="{00000000-0006-0000-0A00-000004000000}">
      <text>
        <r>
          <rPr>
            <b/>
            <sz val="9"/>
            <color indexed="81"/>
            <rFont val="Tahoma"/>
            <family val="2"/>
          </rPr>
          <t>Sue:</t>
        </r>
        <r>
          <rPr>
            <sz val="9"/>
            <color indexed="81"/>
            <rFont val="Tahoma"/>
            <family val="2"/>
          </rPr>
          <t xml:space="preserve">
newlsetter
</t>
        </r>
      </text>
    </comment>
    <comment ref="H33" authorId="1" shapeId="0" xr:uid="{00000000-0006-0000-0A00-000005000000}">
      <text>
        <r>
          <rPr>
            <b/>
            <sz val="9"/>
            <color indexed="81"/>
            <rFont val="Tahoma"/>
            <family val="2"/>
          </rPr>
          <t>Sue:</t>
        </r>
        <r>
          <rPr>
            <sz val="9"/>
            <color indexed="81"/>
            <rFont val="Tahoma"/>
            <family val="2"/>
          </rPr>
          <t xml:space="preserve">
UPGRADE
</t>
        </r>
      </text>
    </comment>
    <comment ref="H36" authorId="1" shapeId="0" xr:uid="{00000000-0006-0000-0A00-000006000000}">
      <text>
        <r>
          <rPr>
            <b/>
            <sz val="9"/>
            <color indexed="81"/>
            <rFont val="Tahoma"/>
            <family val="2"/>
          </rPr>
          <t>Sue:</t>
        </r>
        <r>
          <rPr>
            <sz val="9"/>
            <color indexed="81"/>
            <rFont val="Tahoma"/>
            <family val="2"/>
          </rPr>
          <t xml:space="preserve">
INSERT
</t>
        </r>
      </text>
    </comment>
  </commentList>
</comments>
</file>

<file path=xl/sharedStrings.xml><?xml version="1.0" encoding="utf-8"?>
<sst xmlns="http://schemas.openxmlformats.org/spreadsheetml/2006/main" count="2354" uniqueCount="681">
  <si>
    <t>Day:</t>
  </si>
  <si>
    <t>Friday</t>
  </si>
  <si>
    <t>Date:</t>
  </si>
  <si>
    <t>Attendance</t>
  </si>
  <si>
    <t>Paying delegates</t>
  </si>
  <si>
    <t>Speakers</t>
  </si>
  <si>
    <t>Other exc. staff and exhibs</t>
  </si>
  <si>
    <t>Total attendance</t>
  </si>
  <si>
    <t>Income</t>
  </si>
  <si>
    <t>Delegate fees</t>
  </si>
  <si>
    <t>Sponsorship sales</t>
  </si>
  <si>
    <t>Exhibition sales</t>
  </si>
  <si>
    <t>Adverts/inserts etc. sales</t>
  </si>
  <si>
    <t>Total income</t>
  </si>
  <si>
    <t>Social event registrations</t>
  </si>
  <si>
    <t>Abstracts</t>
  </si>
  <si>
    <t>Abstracts submitted</t>
  </si>
  <si>
    <t>2011 totals</t>
  </si>
  <si>
    <t>A</t>
  </si>
  <si>
    <t>B</t>
  </si>
  <si>
    <t>C</t>
  </si>
  <si>
    <t>Ticket membership types</t>
  </si>
  <si>
    <t>BiR</t>
  </si>
  <si>
    <t>IPEM</t>
  </si>
  <si>
    <t>Ticket value types</t>
  </si>
  <si>
    <t>Abstracts accepted</t>
  </si>
  <si>
    <t>UKRC 2012</t>
  </si>
  <si>
    <t>Company name</t>
  </si>
  <si>
    <t>Stand No</t>
  </si>
  <si>
    <t>Spons Income</t>
  </si>
  <si>
    <t>Exh Income</t>
  </si>
  <si>
    <t>Exhibitor</t>
  </si>
  <si>
    <t>Siemens</t>
  </si>
  <si>
    <t>Anchor</t>
  </si>
  <si>
    <t>Partner</t>
  </si>
  <si>
    <t>Philips</t>
  </si>
  <si>
    <t>Carestream</t>
  </si>
  <si>
    <t>GE Healthcare</t>
  </si>
  <si>
    <t>Xograph</t>
  </si>
  <si>
    <t>Sectra</t>
  </si>
  <si>
    <t>Toshiba</t>
  </si>
  <si>
    <t>Burnbank Systems</t>
  </si>
  <si>
    <t>Cerner</t>
  </si>
  <si>
    <t>Covidien</t>
  </si>
  <si>
    <t>EIZO Uk</t>
  </si>
  <si>
    <t>Infinnitt UK</t>
  </si>
  <si>
    <t>Hitachi</t>
  </si>
  <si>
    <t>NEC Display Solutions</t>
  </si>
  <si>
    <t>QADOS</t>
  </si>
  <si>
    <t>NHS Improvement Diagnostics</t>
  </si>
  <si>
    <t>PACSGEAR</t>
  </si>
  <si>
    <t>PTW-UK</t>
  </si>
  <si>
    <t>MediScientific</t>
  </si>
  <si>
    <t>Bridgehead Software</t>
  </si>
  <si>
    <t>Hologic</t>
  </si>
  <si>
    <t>Kirkham Young</t>
  </si>
  <si>
    <t>Mirion</t>
  </si>
  <si>
    <t>SCoR</t>
  </si>
  <si>
    <t>BIR</t>
  </si>
  <si>
    <t>Asteral</t>
  </si>
  <si>
    <t>49,50.53</t>
  </si>
  <si>
    <t>TBC</t>
  </si>
  <si>
    <t>TOTALS</t>
  </si>
  <si>
    <t>CURRENT TOTAL INC</t>
  </si>
  <si>
    <t>Wednesday</t>
  </si>
  <si>
    <t>Deadline date</t>
  </si>
  <si>
    <t>SqM 2011-12</t>
  </si>
  <si>
    <t>up 25 sqm</t>
  </si>
  <si>
    <t>Agfa</t>
  </si>
  <si>
    <t>same</t>
  </si>
  <si>
    <t>down 2sqm</t>
  </si>
  <si>
    <t>down 11sqm</t>
  </si>
  <si>
    <t>up 9 sqm</t>
  </si>
  <si>
    <t>down 25sqm</t>
  </si>
  <si>
    <t>Burnbank For IHE</t>
  </si>
  <si>
    <t>up as IHE booking</t>
  </si>
  <si>
    <t>up 4 sqm</t>
  </si>
  <si>
    <t>NEW</t>
  </si>
  <si>
    <t>up 3 sqm</t>
  </si>
  <si>
    <t>up 10 sqm</t>
  </si>
  <si>
    <t>up 8 sqm</t>
  </si>
  <si>
    <t>up 1 sqm</t>
  </si>
  <si>
    <t>Bayer (former MedAct)</t>
  </si>
  <si>
    <t>up 30 sqm</t>
  </si>
  <si>
    <t>Fuji</t>
  </si>
  <si>
    <t>down 12sqm</t>
  </si>
  <si>
    <t>McKesson UK</t>
  </si>
  <si>
    <t>British Society for History of Radiology</t>
  </si>
  <si>
    <t>40/43</t>
  </si>
  <si>
    <t>Guerbert Labs</t>
  </si>
  <si>
    <t>down 6sqm</t>
  </si>
  <si>
    <t>Insignia Medical Systems</t>
  </si>
  <si>
    <t>76/79/80</t>
  </si>
  <si>
    <t>International Soc of Rad</t>
  </si>
  <si>
    <t>tbc</t>
  </si>
  <si>
    <t>Nova Biomedical</t>
  </si>
  <si>
    <t>Up 2 sqm</t>
  </si>
  <si>
    <t>Protecx Medical</t>
  </si>
  <si>
    <t>Pukka-j Ltd</t>
  </si>
  <si>
    <t>Visbion</t>
  </si>
  <si>
    <t>down 8sqm</t>
  </si>
  <si>
    <t>Wolverson</t>
  </si>
  <si>
    <t>FREE</t>
  </si>
  <si>
    <t>Thursday</t>
  </si>
  <si>
    <t>up 27 sqm</t>
  </si>
  <si>
    <t>Unfors</t>
  </si>
  <si>
    <t>Konica</t>
  </si>
  <si>
    <t>up 15 sqm</t>
  </si>
  <si>
    <t>Inhealth</t>
  </si>
  <si>
    <t>2011 comparison figs</t>
  </si>
  <si>
    <t>budget TOTAL</t>
  </si>
  <si>
    <t>To  budget</t>
  </si>
  <si>
    <t>To go</t>
  </si>
  <si>
    <t>Total target</t>
  </si>
  <si>
    <t>Ad/Ins/Other</t>
  </si>
  <si>
    <t>mobile?</t>
  </si>
  <si>
    <t>no mobile</t>
  </si>
  <si>
    <t>D</t>
  </si>
  <si>
    <t>No of Exhibitors</t>
  </si>
  <si>
    <t xml:space="preserve">New exhibitors </t>
  </si>
  <si>
    <t>No income figures presented</t>
  </si>
  <si>
    <t>2012 current</t>
  </si>
  <si>
    <t>Satellie sessions booked</t>
  </si>
  <si>
    <t>Comparative Figures with 2011</t>
  </si>
  <si>
    <t>Wisepress</t>
  </si>
  <si>
    <t>Wardway-premise</t>
  </si>
  <si>
    <t>BMUS</t>
  </si>
  <si>
    <t>Amor Group</t>
  </si>
  <si>
    <t>AMS TA</t>
  </si>
  <si>
    <t>Devon medical</t>
  </si>
  <si>
    <t>down 15sqm</t>
  </si>
  <si>
    <t>Alliance medical</t>
  </si>
  <si>
    <t>78 oral - posters tbc</t>
  </si>
  <si>
    <t>80 oral</t>
  </si>
  <si>
    <t>Not ticked</t>
  </si>
  <si>
    <t>48 paying</t>
  </si>
  <si>
    <t>reports from 21 Feb 2011</t>
  </si>
  <si>
    <t>Monday Bar night</t>
  </si>
  <si>
    <t>Conference dinner and Ceilidh</t>
  </si>
  <si>
    <t>COR</t>
  </si>
  <si>
    <t>No of Dels</t>
  </si>
  <si>
    <t>Free DELEGATES</t>
  </si>
  <si>
    <t>Free Exhibitor delegates</t>
  </si>
  <si>
    <t>Rogan IT</t>
  </si>
  <si>
    <t>Voice technologies</t>
  </si>
  <si>
    <t>Mdi Solutions</t>
  </si>
  <si>
    <t>Dual energy session?</t>
  </si>
  <si>
    <t>down 42 sqm</t>
  </si>
  <si>
    <t>e-learning for</t>
  </si>
  <si>
    <t>scor</t>
  </si>
  <si>
    <t>Radimetrics</t>
  </si>
  <si>
    <t>uni hertfordshire</t>
  </si>
  <si>
    <t>78 orals + 158 posters some still tbc</t>
  </si>
  <si>
    <t>Weekly variation</t>
  </si>
  <si>
    <t>cxx</t>
  </si>
  <si>
    <t>ccx</t>
  </si>
  <si>
    <t>Accenture</t>
  </si>
  <si>
    <t>total commercial sales variance</t>
  </si>
  <si>
    <t>Soliton</t>
  </si>
  <si>
    <t>Yourworld Medical</t>
  </si>
  <si>
    <t>The MDU</t>
  </si>
  <si>
    <t>Day visitors (free)</t>
  </si>
  <si>
    <t>Exhibitors / Stand Personnel</t>
  </si>
  <si>
    <t>Nhs supply chain</t>
  </si>
  <si>
    <t>terarecons</t>
  </si>
  <si>
    <t>visage imaging</t>
  </si>
  <si>
    <t>94 paying 16 day visitors</t>
  </si>
  <si>
    <t xml:space="preserve">238 plus e-posters tbc </t>
  </si>
  <si>
    <t>no total</t>
  </si>
  <si>
    <t>126 paying 23 day visitors</t>
  </si>
  <si>
    <t>90 in 2010 so comparable..</t>
  </si>
  <si>
    <t>Orthoview</t>
  </si>
  <si>
    <t>Acuo Technologies</t>
  </si>
  <si>
    <t>Intrasense</t>
  </si>
  <si>
    <t>Hermes Medical</t>
  </si>
  <si>
    <t>up 5 sqm</t>
  </si>
  <si>
    <t>Hamamatsu Phototonics</t>
  </si>
  <si>
    <t>Barco</t>
  </si>
  <si>
    <t>insert</t>
  </si>
  <si>
    <t>Salford Uni</t>
  </si>
  <si>
    <t>.</t>
  </si>
  <si>
    <t>Merge healthcrae</t>
  </si>
  <si>
    <t>108/109</t>
  </si>
  <si>
    <t>Mckesson for PeerVue</t>
  </si>
  <si>
    <t>cnute</t>
  </si>
  <si>
    <t>549 - 358 acc</t>
  </si>
  <si>
    <t xml:space="preserve">238 plus approx 100 e-posters tbc </t>
  </si>
  <si>
    <t>552paying 69 day visitors - but early deadline was 6th April</t>
  </si>
  <si>
    <t>NO INCOME FIGS AVAILABLE BUT SQ FOOTAGE MORE</t>
  </si>
  <si>
    <t>Microboards tech</t>
  </si>
  <si>
    <t>ccx fee to be paid</t>
  </si>
  <si>
    <t>Dell</t>
  </si>
  <si>
    <t>new</t>
  </si>
  <si>
    <t>free symposium</t>
  </si>
  <si>
    <t>Exhibition only</t>
  </si>
  <si>
    <t>618 at 3rd may last year</t>
  </si>
  <si>
    <t>114 at 3rd may last year</t>
  </si>
  <si>
    <t>69 orals, 156 posters, 134 e-posters plus students x 10</t>
  </si>
  <si>
    <t>The dental imaging</t>
  </si>
  <si>
    <t>Laitek</t>
  </si>
  <si>
    <t>No reports after 3rd May to look at</t>
  </si>
  <si>
    <t>EMD services</t>
  </si>
  <si>
    <t>Cobalt</t>
  </si>
  <si>
    <t>Safety first sales</t>
  </si>
  <si>
    <t>Mindray</t>
  </si>
  <si>
    <t>Ram peripherals</t>
  </si>
  <si>
    <t xml:space="preserve">emc </t>
  </si>
  <si>
    <t>TT imaging</t>
  </si>
  <si>
    <t>Nordic neutro lab</t>
  </si>
  <si>
    <t>Healthcare software systems</t>
  </si>
  <si>
    <t>DIF training</t>
  </si>
  <si>
    <t>Sponsor</t>
  </si>
  <si>
    <t>RAD   poster sponsor</t>
  </si>
  <si>
    <t>lots</t>
  </si>
  <si>
    <t>PACS health</t>
  </si>
  <si>
    <t>axrem</t>
  </si>
  <si>
    <t>2012 totals</t>
  </si>
  <si>
    <t>Total attendance exc exh</t>
  </si>
  <si>
    <t>??</t>
  </si>
  <si>
    <t>RCR</t>
  </si>
  <si>
    <t>Vol org</t>
  </si>
  <si>
    <t>Difference</t>
  </si>
  <si>
    <t>42/43</t>
  </si>
  <si>
    <t>73/76</t>
  </si>
  <si>
    <t>+8</t>
  </si>
  <si>
    <t>SqM 2012-13</t>
  </si>
  <si>
    <t>symposia</t>
  </si>
  <si>
    <t>symposia/lanyards</t>
  </si>
  <si>
    <t>symposia/bags</t>
  </si>
  <si>
    <t>52/55</t>
  </si>
  <si>
    <t>Infinnitt</t>
  </si>
  <si>
    <t>ISSRT</t>
  </si>
  <si>
    <t>Casmed</t>
  </si>
  <si>
    <t>Bayer</t>
  </si>
  <si>
    <t>Bridgehead</t>
  </si>
  <si>
    <t>Qados</t>
  </si>
  <si>
    <t>EIZO</t>
  </si>
  <si>
    <t>Alliance Medical</t>
  </si>
  <si>
    <t>Acuo</t>
  </si>
  <si>
    <t>25/27</t>
  </si>
  <si>
    <t>85/86</t>
  </si>
  <si>
    <t>SCoR e-learning</t>
  </si>
  <si>
    <t>tbc 3x2</t>
  </si>
  <si>
    <t>free</t>
  </si>
  <si>
    <t>Contradeal</t>
  </si>
  <si>
    <t>Cancer Imaging Society</t>
  </si>
  <si>
    <t>Diagnostic Imaging Europe</t>
  </si>
  <si>
    <t>INCREASE</t>
  </si>
  <si>
    <t>Weekly</t>
  </si>
  <si>
    <t>variation</t>
  </si>
  <si>
    <t>ABSTRACT DLINE</t>
  </si>
  <si>
    <t>total commerical variance</t>
  </si>
  <si>
    <t>BSHOR History</t>
  </si>
  <si>
    <t>84b</t>
  </si>
  <si>
    <t>84a</t>
  </si>
  <si>
    <t>Medaphor</t>
  </si>
  <si>
    <t>InHealth</t>
  </si>
  <si>
    <t>NHS Improvement</t>
  </si>
  <si>
    <t>newsletter</t>
  </si>
  <si>
    <t>Insert</t>
  </si>
  <si>
    <t>Uni of hertfordshire</t>
  </si>
  <si>
    <t>CCX</t>
  </si>
  <si>
    <t>Pukka  J</t>
  </si>
  <si>
    <t>Strykker</t>
  </si>
  <si>
    <t>Unfors Raysafe</t>
  </si>
  <si>
    <t xml:space="preserve">symposia </t>
  </si>
  <si>
    <t>Tuesday</t>
  </si>
  <si>
    <t>Moderators</t>
  </si>
  <si>
    <t>Sponsorship &amp; symposia sales</t>
  </si>
  <si>
    <t>HCPC</t>
  </si>
  <si>
    <t>Insignia</t>
  </si>
  <si>
    <t>Mediscientific</t>
  </si>
  <si>
    <t>Radiology Reporting online</t>
  </si>
  <si>
    <t>Wardway Premise Ltd</t>
  </si>
  <si>
    <t>44/45</t>
  </si>
  <si>
    <t>Protecx Medical lt</t>
  </si>
  <si>
    <t>2012 69 orals, 156 posters, 134 e-posters plus students x 10</t>
  </si>
  <si>
    <t>symposia x 2</t>
  </si>
  <si>
    <t>Soliton it</t>
  </si>
  <si>
    <t>Terarecon</t>
  </si>
  <si>
    <t>Esote</t>
  </si>
  <si>
    <t>Capita Solutions</t>
  </si>
  <si>
    <t>Olympus keymed</t>
  </si>
  <si>
    <t>?</t>
  </si>
  <si>
    <t>Hermes medical solutions</t>
  </si>
  <si>
    <t>Voice technology</t>
  </si>
  <si>
    <t>82/83/36</t>
  </si>
  <si>
    <t>intelerad</t>
  </si>
  <si>
    <t>Monday night supper club</t>
  </si>
  <si>
    <t>Tuesday St Georges Hall</t>
  </si>
  <si>
    <t>Telemedicine Clinic</t>
  </si>
  <si>
    <t>NEC dispkay</t>
  </si>
  <si>
    <t>31/32</t>
  </si>
  <si>
    <t>fuji</t>
  </si>
  <si>
    <t xml:space="preserve">ccx </t>
  </si>
  <si>
    <t>Devon Medical</t>
  </si>
  <si>
    <r>
      <rPr>
        <b/>
        <sz val="11"/>
        <color theme="1"/>
        <rFont val="Calibri"/>
        <family val="2"/>
        <scheme val="minor"/>
      </rPr>
      <t>2013</t>
    </r>
    <r>
      <rPr>
        <sz val="11"/>
        <color theme="1"/>
        <rFont val="Calibri"/>
        <family val="2"/>
        <scheme val="minor"/>
      </rPr>
      <t xml:space="preserve"> 65 Orals, 179 Posters, 107 e-posters plus radiog students anticipate 20</t>
    </r>
  </si>
  <si>
    <t>Metrasens</t>
  </si>
  <si>
    <t>Sanctuary Allied health</t>
  </si>
  <si>
    <t>Visage Imaging</t>
  </si>
  <si>
    <t>De Smith Medical</t>
  </si>
  <si>
    <t>Nordic Pharma</t>
  </si>
  <si>
    <t>4Ways Health</t>
  </si>
  <si>
    <t>IRS</t>
  </si>
  <si>
    <t>RAF</t>
  </si>
  <si>
    <t>Saturday</t>
  </si>
  <si>
    <t>DRC locums</t>
  </si>
  <si>
    <t>Paying speakers at £99</t>
  </si>
  <si>
    <t>SCOR</t>
  </si>
  <si>
    <t>Friday EBD week</t>
  </si>
  <si>
    <t>UKAS</t>
  </si>
  <si>
    <t>Fannin</t>
  </si>
  <si>
    <t>Peervue - mckesson</t>
  </si>
  <si>
    <t>Schools session</t>
  </si>
  <si>
    <t>Bracco</t>
  </si>
  <si>
    <t xml:space="preserve">MIS </t>
  </si>
  <si>
    <t>McKesson</t>
  </si>
  <si>
    <t>dis training</t>
  </si>
  <si>
    <t>meeting room hire</t>
  </si>
  <si>
    <t>uni linc hosp trust</t>
  </si>
  <si>
    <t>safety first sales</t>
  </si>
  <si>
    <t>Other press volunteers etc</t>
  </si>
  <si>
    <t>POST EVENT</t>
  </si>
  <si>
    <t>UKRC 2014</t>
  </si>
  <si>
    <t>73/91</t>
  </si>
  <si>
    <t>Mobile</t>
  </si>
  <si>
    <t>10x6</t>
  </si>
  <si>
    <t>mobile</t>
  </si>
  <si>
    <t>SOCIAL Contribution</t>
  </si>
  <si>
    <t>+30</t>
  </si>
  <si>
    <t>+20</t>
  </si>
  <si>
    <t>55/59</t>
  </si>
  <si>
    <t>+10</t>
  </si>
  <si>
    <t>2013 totals</t>
  </si>
  <si>
    <t>79/80</t>
  </si>
  <si>
    <t>British Institute of Radiology</t>
  </si>
  <si>
    <t>College of Radiographers</t>
  </si>
  <si>
    <t>College of Radiographers - elearning for healthcare</t>
  </si>
  <si>
    <t>Eden Learning</t>
  </si>
  <si>
    <t>EIZO UK</t>
  </si>
  <si>
    <t>60/61/64/65</t>
  </si>
  <si>
    <t>Guerbet Laboratories</t>
  </si>
  <si>
    <t>Infinitt UK Ltd</t>
  </si>
  <si>
    <t>Intelerad</t>
  </si>
  <si>
    <t>International Society of Radiographers and Radiological Technologists (ISRRT)</t>
  </si>
  <si>
    <t>Konica Minolta Medical &amp; Graphic Imaging</t>
  </si>
  <si>
    <t>MedaPhor</t>
  </si>
  <si>
    <t>Medi Scientific Ltd</t>
  </si>
  <si>
    <t>Mirion Technologies</t>
  </si>
  <si>
    <t>Protecx Medical Ltd</t>
  </si>
  <si>
    <t>Radiology Reporting Online</t>
  </si>
  <si>
    <t>Rivendale Systems Ltd</t>
  </si>
  <si>
    <t>+7</t>
  </si>
  <si>
    <t>+6</t>
  </si>
  <si>
    <t>-8</t>
  </si>
  <si>
    <t>-2</t>
  </si>
  <si>
    <t>+2</t>
  </si>
  <si>
    <t>-3</t>
  </si>
  <si>
    <t>-6</t>
  </si>
  <si>
    <t>+12</t>
  </si>
  <si>
    <t xml:space="preserve">NEC </t>
  </si>
  <si>
    <t>Integrated Radiology Services</t>
  </si>
  <si>
    <t>Monday</t>
  </si>
  <si>
    <t>Esaote</t>
  </si>
  <si>
    <t>+18</t>
  </si>
  <si>
    <t>Fujifilm</t>
  </si>
  <si>
    <t>Bayer/Radimetrics</t>
  </si>
  <si>
    <t>partner</t>
  </si>
  <si>
    <t>Pentland Medical</t>
  </si>
  <si>
    <t>Wardray Premise Ltd</t>
  </si>
  <si>
    <t>De Smit Medical</t>
  </si>
  <si>
    <t>+3</t>
  </si>
  <si>
    <t>increase</t>
  </si>
  <si>
    <t>Envirotec</t>
  </si>
  <si>
    <t>Hitachi Medical Systems</t>
  </si>
  <si>
    <t>93/94</t>
  </si>
  <si>
    <t>University of Herts</t>
  </si>
  <si>
    <t>Advert</t>
  </si>
  <si>
    <t>Av order value inc vat</t>
  </si>
  <si>
    <t>sponsoring dinner</t>
  </si>
  <si>
    <t>Edan instruments</t>
  </si>
  <si>
    <t>e-posters increase</t>
  </si>
  <si>
    <t>Now closed e-posters out for review</t>
  </si>
  <si>
    <t>Medica</t>
  </si>
  <si>
    <t>InHealth Ltd</t>
  </si>
  <si>
    <t>Rig healthcare recruitment</t>
  </si>
  <si>
    <t>4Ways healthcare</t>
  </si>
  <si>
    <t>ID Medical</t>
  </si>
  <si>
    <t>contra</t>
  </si>
  <si>
    <t>Bracco Uk Ltd</t>
  </si>
  <si>
    <t>Cancer Care Society</t>
  </si>
  <si>
    <t>free insert</t>
  </si>
  <si>
    <t>British Society for History of radiology</t>
  </si>
  <si>
    <t>QUMU</t>
  </si>
  <si>
    <t>Hermes Medical Solutions</t>
  </si>
  <si>
    <t>RRT</t>
  </si>
  <si>
    <t>30/29</t>
  </si>
  <si>
    <t>+28</t>
  </si>
  <si>
    <t>+72</t>
  </si>
  <si>
    <t>free stand</t>
  </si>
  <si>
    <t>Perceptive software</t>
  </si>
  <si>
    <t>Unfors Raysafe GmbH</t>
  </si>
  <si>
    <t>MDI Solutions</t>
  </si>
  <si>
    <t>+1</t>
  </si>
  <si>
    <t>Conference Dinner</t>
  </si>
  <si>
    <t>C - Radiogrpahers</t>
  </si>
  <si>
    <t>D - Students/retired</t>
  </si>
  <si>
    <t>B - Medical and sceintific</t>
  </si>
  <si>
    <t>A - Consultants</t>
  </si>
  <si>
    <t>Session numbers</t>
  </si>
  <si>
    <t>e-poster uploads</t>
  </si>
  <si>
    <t>IHE</t>
  </si>
  <si>
    <t>diagnostic healthcare</t>
  </si>
  <si>
    <t>qados</t>
  </si>
  <si>
    <t>sidra</t>
  </si>
  <si>
    <t>MIS healthcrae</t>
  </si>
  <si>
    <t>Easter Monday</t>
  </si>
  <si>
    <t>Early Bird ENDED 18 April</t>
  </si>
  <si>
    <t xml:space="preserve">Geographical breakdown </t>
  </si>
  <si>
    <t>Region England</t>
  </si>
  <si>
    <t>North West</t>
  </si>
  <si>
    <t>North East</t>
  </si>
  <si>
    <t>Yorkshire and the Humber</t>
  </si>
  <si>
    <t>West Midlands</t>
  </si>
  <si>
    <t>East Midlands</t>
  </si>
  <si>
    <t>East of England</t>
  </si>
  <si>
    <t>London</t>
  </si>
  <si>
    <t>South East</t>
  </si>
  <si>
    <t>South West</t>
  </si>
  <si>
    <t>Scotland</t>
  </si>
  <si>
    <t>Wales</t>
  </si>
  <si>
    <t>Northern Ireland</t>
  </si>
  <si>
    <t>International</t>
  </si>
  <si>
    <t>Sheffield Hallam Uni</t>
  </si>
  <si>
    <t>Hospital Services Ltd</t>
  </si>
  <si>
    <t>Lupprians</t>
  </si>
  <si>
    <t>Rxeye</t>
  </si>
  <si>
    <t>B Braun</t>
  </si>
  <si>
    <t>oxford university hospital</t>
  </si>
  <si>
    <t>38 accepted for oral, 32 rejects rest posters or e-posters</t>
  </si>
  <si>
    <t>Marketing</t>
  </si>
  <si>
    <t>What prompted you to book</t>
  </si>
  <si>
    <t>IPEM email</t>
  </si>
  <si>
    <t>SCOR email</t>
  </si>
  <si>
    <t>BIR email</t>
  </si>
  <si>
    <t>UKRC email</t>
  </si>
  <si>
    <t>UKRC website</t>
  </si>
  <si>
    <t>RAD advert</t>
  </si>
  <si>
    <t>Previously attended</t>
  </si>
  <si>
    <t>Colleague recommended</t>
  </si>
  <si>
    <t>Submitted abstract</t>
  </si>
  <si>
    <t>Facebook</t>
  </si>
  <si>
    <t>Twitter</t>
  </si>
  <si>
    <t>CPD Points</t>
  </si>
  <si>
    <t xml:space="preserve">Leaflet </t>
  </si>
  <si>
    <t>total at 3 june</t>
  </si>
  <si>
    <t>A: Consultants and senior managers</t>
  </si>
  <si>
    <t>B: Other medical including trainees and scientific</t>
  </si>
  <si>
    <t>C: Radiographers, nurses and radiobiologists</t>
  </si>
  <si>
    <t>D: Undergraduates, retirees and individuals on bursaries</t>
  </si>
  <si>
    <t>Day visitors</t>
  </si>
  <si>
    <t>%</t>
  </si>
  <si>
    <t>percentage of paying</t>
  </si>
  <si>
    <t>Radiologist (all specialities)</t>
  </si>
  <si>
    <t>Radiographer (all levels)</t>
  </si>
  <si>
    <t>Senior staff</t>
  </si>
  <si>
    <t>Consultant</t>
  </si>
  <si>
    <t>Manager level</t>
  </si>
  <si>
    <t>Other</t>
  </si>
  <si>
    <t>Trainee Radiologists</t>
  </si>
  <si>
    <t>Student Radiographer</t>
  </si>
  <si>
    <t>Physicist/Scientist/Engineer</t>
  </si>
  <si>
    <t>Doctor/surgeon</t>
  </si>
  <si>
    <t>Commercial</t>
  </si>
  <si>
    <t>Nurse</t>
  </si>
  <si>
    <t>Press</t>
  </si>
  <si>
    <t>lecturer/Professors</t>
  </si>
  <si>
    <t>Undisclosed</t>
  </si>
  <si>
    <t>exc dinner income</t>
  </si>
  <si>
    <t>Moderators / working party</t>
  </si>
  <si>
    <t>`</t>
  </si>
  <si>
    <t>UKRC 2015</t>
  </si>
  <si>
    <t>total commercial income</t>
  </si>
  <si>
    <t>SqM 2014-15</t>
  </si>
  <si>
    <t>90/93</t>
  </si>
  <si>
    <t>+44</t>
  </si>
  <si>
    <t>81/82/83</t>
  </si>
  <si>
    <t>45/47</t>
  </si>
  <si>
    <t>69/70</t>
  </si>
  <si>
    <t>22/23</t>
  </si>
  <si>
    <t>Knex</t>
  </si>
  <si>
    <t>67/68</t>
  </si>
  <si>
    <t>78/78/80</t>
  </si>
  <si>
    <t>up</t>
  </si>
  <si>
    <t>doubled!!</t>
  </si>
  <si>
    <t>§</t>
  </si>
  <si>
    <t>Globe locums</t>
  </si>
  <si>
    <t>Raybloc</t>
  </si>
  <si>
    <t>sympoisa?</t>
  </si>
  <si>
    <t>Hilditch Group Ltd</t>
  </si>
  <si>
    <t>Stryker</t>
  </si>
  <si>
    <t>CLOSED</t>
  </si>
  <si>
    <t>39-40</t>
  </si>
  <si>
    <t>Your World health care</t>
  </si>
  <si>
    <t>Global Academic Business</t>
  </si>
  <si>
    <t>CPIT</t>
  </si>
  <si>
    <t>Jennie Reeves Radiographers Agency</t>
  </si>
  <si>
    <t>Medics Pro</t>
  </si>
  <si>
    <t>Circular Cardiovascualr imaging</t>
  </si>
  <si>
    <t>FULL</t>
  </si>
  <si>
    <t>MON</t>
  </si>
  <si>
    <t>TUES</t>
  </si>
  <si>
    <t>WEDS</t>
  </si>
  <si>
    <t>Early Bird april 30</t>
  </si>
  <si>
    <t>546 today 29th</t>
  </si>
  <si>
    <t>2014 EBD</t>
  </si>
  <si>
    <t>2013 EBD</t>
  </si>
  <si>
    <t>Early bird deadline comparison</t>
  </si>
  <si>
    <t>TOTAL PER DAY</t>
  </si>
  <si>
    <t>2015 EBD</t>
  </si>
  <si>
    <t>Sanctuary health</t>
  </si>
  <si>
    <t>Rothband</t>
  </si>
  <si>
    <t>TTM</t>
  </si>
  <si>
    <t>NEED SORTING WITH YVONNE MIS 19k…</t>
  </si>
  <si>
    <t>\</t>
  </si>
  <si>
    <t>59k over target</t>
  </si>
  <si>
    <t>ordered</t>
  </si>
  <si>
    <t>from evt not accurate</t>
  </si>
  <si>
    <t>PAYING ONSITE BY DAY</t>
  </si>
  <si>
    <t>2015 totals</t>
  </si>
  <si>
    <t>UKRC/UKRO 2016</t>
  </si>
  <si>
    <t>UKRC Abstracts submitted</t>
  </si>
  <si>
    <t>UKRO Abstracts submitted</t>
  </si>
  <si>
    <t>UKRC Paying delegates</t>
  </si>
  <si>
    <t>UKRO Paying delegates</t>
  </si>
  <si>
    <t>deadline 15 Dec</t>
  </si>
  <si>
    <t>UKRC Delegate fees</t>
  </si>
  <si>
    <t>UKRO Delegate fees</t>
  </si>
  <si>
    <t>may keep open for posters</t>
  </si>
  <si>
    <t>UKRO Exhib sales</t>
  </si>
  <si>
    <t>UKRC Sub total</t>
  </si>
  <si>
    <t>UKRO sub total</t>
  </si>
  <si>
    <t>UKRO sponosrship</t>
  </si>
  <si>
    <t>commercial incme</t>
  </si>
  <si>
    <t>Inserts etc</t>
  </si>
  <si>
    <t>304 on 16 Jan 2016 but later deadline for eposters</t>
  </si>
  <si>
    <t>Variation  2015</t>
  </si>
  <si>
    <t>total delegates and day visitors</t>
  </si>
  <si>
    <t>Adverts/inserts mobiles etc. sales</t>
  </si>
  <si>
    <t>Republic of Ireland</t>
  </si>
  <si>
    <t>6 schools</t>
  </si>
  <si>
    <t xml:space="preserve">TUESDAY </t>
  </si>
  <si>
    <t>FRIDAY</t>
  </si>
  <si>
    <t>Flexi tickets</t>
  </si>
  <si>
    <t>ukrc</t>
  </si>
  <si>
    <t>ukro</t>
  </si>
  <si>
    <t>Cavern club</t>
  </si>
  <si>
    <t>FRIDAY  EBD 5pm</t>
  </si>
  <si>
    <t>Day split on ticket sales</t>
  </si>
  <si>
    <t>UKRO</t>
  </si>
  <si>
    <t>UKRC</t>
  </si>
  <si>
    <t>Full tickets</t>
  </si>
  <si>
    <t>Monday attendacne inc above</t>
  </si>
  <si>
    <t>Tuesday attendacne inc above</t>
  </si>
  <si>
    <t>Weds attendacne inc above</t>
  </si>
  <si>
    <t>60 flexi tickets days unknown</t>
  </si>
  <si>
    <t xml:space="preserve">FRIDAY Post EBD </t>
  </si>
  <si>
    <t>First time attendee</t>
  </si>
  <si>
    <t>No</t>
  </si>
  <si>
    <t>Yes</t>
  </si>
  <si>
    <t>N/a</t>
  </si>
  <si>
    <t>Curry and networking</t>
  </si>
  <si>
    <t>+10k</t>
  </si>
  <si>
    <t>ALL</t>
  </si>
  <si>
    <t>FRIDAY B4</t>
  </si>
  <si>
    <t>2016 totals</t>
  </si>
  <si>
    <t>60 flexi tickets days unkpnwn</t>
  </si>
  <si>
    <t>POST FLASH SALE</t>
  </si>
  <si>
    <t>inc abpve</t>
  </si>
  <si>
    <t>n/a</t>
  </si>
  <si>
    <t>Total paying delegates</t>
  </si>
  <si>
    <t>inc above</t>
  </si>
  <si>
    <t>Exhib total income</t>
  </si>
  <si>
    <t>51 rejects/2 rework/7 UKRO</t>
  </si>
  <si>
    <t>48 orals/ 311 posters</t>
  </si>
  <si>
    <t>post vetting day</t>
  </si>
  <si>
    <t>variation on 2016</t>
  </si>
  <si>
    <t>AV ORDER VALUE</t>
  </si>
  <si>
    <t>RSNA  ASTRO ISRRT</t>
  </si>
  <si>
    <t>C - Radiogrpahers and Rad trainees</t>
  </si>
  <si>
    <t>Radiology trainees in C cat split</t>
  </si>
  <si>
    <t>97?</t>
  </si>
  <si>
    <t>Bar and music night</t>
  </si>
  <si>
    <t>Thursday pre EBD</t>
  </si>
  <si>
    <t>AXREM Dinner</t>
  </si>
  <si>
    <t>Weds post EBD</t>
  </si>
  <si>
    <t>39 schools</t>
  </si>
  <si>
    <t>Bursary</t>
  </si>
  <si>
    <t>Monday day tickets</t>
  </si>
  <si>
    <t>Tuesday day tickets</t>
  </si>
  <si>
    <t>Weds day tickets</t>
  </si>
  <si>
    <t>total each day</t>
  </si>
  <si>
    <t>37 flexi unknown days</t>
  </si>
  <si>
    <t>bookings this week</t>
  </si>
  <si>
    <t>Joint congress dinner</t>
  </si>
  <si>
    <t>total income same time last year</t>
  </si>
  <si>
    <t>Friday B4</t>
  </si>
  <si>
    <t>£26k over target</t>
  </si>
  <si>
    <t>2017 totals</t>
  </si>
  <si>
    <t>MONDAY</t>
  </si>
  <si>
    <t>46 orals/161 psoters/62 eposters/60 rejects 10 reworks</t>
  </si>
  <si>
    <t>Other ads insert etc</t>
  </si>
  <si>
    <t>FLASH SALE</t>
  </si>
  <si>
    <t>total paying</t>
  </si>
  <si>
    <t>FLASH SALE STATISTICS</t>
  </si>
  <si>
    <t>Bar and music night Cavern Club</t>
  </si>
  <si>
    <t>Joint congress dinner UKRO</t>
  </si>
  <si>
    <t>2017 total</t>
  </si>
  <si>
    <t>total commercial</t>
  </si>
  <si>
    <t>Countries</t>
  </si>
  <si>
    <t>Australia</t>
  </si>
  <si>
    <t>Bahrain</t>
  </si>
  <si>
    <t>Canada</t>
  </si>
  <si>
    <t>Egypt</t>
  </si>
  <si>
    <t>India</t>
  </si>
  <si>
    <t>Nepal</t>
  </si>
  <si>
    <t>Netherlands</t>
  </si>
  <si>
    <t>new Zealand</t>
  </si>
  <si>
    <t>Nigeria</t>
  </si>
  <si>
    <t>Pakisatan</t>
  </si>
  <si>
    <t>Russian Federation</t>
  </si>
  <si>
    <t>Saudi Arabia</t>
  </si>
  <si>
    <t>Singapore</t>
  </si>
  <si>
    <t>South Africa</t>
  </si>
  <si>
    <t>Switzerland</t>
  </si>
  <si>
    <t>Thailand</t>
  </si>
  <si>
    <t>UAE</t>
  </si>
  <si>
    <t>USA</t>
  </si>
  <si>
    <t>No been before</t>
  </si>
  <si>
    <t>Yes first time</t>
  </si>
  <si>
    <t>Closed</t>
  </si>
  <si>
    <t>Friday B4 EBD</t>
  </si>
  <si>
    <t>Guided Walk</t>
  </si>
  <si>
    <t>106 late breaking</t>
  </si>
  <si>
    <t>Tues Post EBD</t>
  </si>
  <si>
    <t>Gibralta</t>
  </si>
  <si>
    <t>Italy</t>
  </si>
  <si>
    <t>Fri Post EBD</t>
  </si>
  <si>
    <t>Fri Post loyalty code</t>
  </si>
  <si>
    <t>67 rejected</t>
  </si>
  <si>
    <t>NB Day visitor and Paying Del dupes to take into account</t>
  </si>
  <si>
    <t>Comparison at sametime</t>
  </si>
  <si>
    <t>2 weeks</t>
  </si>
  <si>
    <t>Comparison at 2 weeks out</t>
  </si>
  <si>
    <t>Argentina</t>
  </si>
  <si>
    <t>Cambodia</t>
  </si>
  <si>
    <t>France</t>
  </si>
  <si>
    <t>Germany</t>
  </si>
  <si>
    <t>Greece</t>
  </si>
  <si>
    <t>Iraq</t>
  </si>
  <si>
    <t>Israel</t>
  </si>
  <si>
    <t>Jordan</t>
  </si>
  <si>
    <t>Korea</t>
  </si>
  <si>
    <t>Lithuania</t>
  </si>
  <si>
    <t>Malaysia</t>
  </si>
  <si>
    <t>Serbia and Montenegor</t>
  </si>
  <si>
    <t>Comparison same timeLiverpool 2016</t>
  </si>
  <si>
    <t>total dels</t>
  </si>
  <si>
    <t>5km Run</t>
  </si>
  <si>
    <t>Yoga</t>
  </si>
  <si>
    <t>Comparison at1 week out Manchester</t>
  </si>
  <si>
    <t>UKRC/UKRO 2018</t>
  </si>
  <si>
    <t>UKIO 2019</t>
  </si>
  <si>
    <t>2018 totals</t>
  </si>
  <si>
    <t>A - Rads etc</t>
  </si>
  <si>
    <t>B - Ogs Phys</t>
  </si>
  <si>
    <t>C - Student etc</t>
  </si>
  <si>
    <t>Sponsorship</t>
  </si>
  <si>
    <t>TUESDAY - post deadline</t>
  </si>
  <si>
    <t>Imaging Clininal - 130
Imaging Research - 48
Imaging Education - 77
IMAGING TOTAL - 255
RT/Onc Education - 16
RT/Onc Research - 23
RT/Onc clinical - 50
RT/ONC TOTAL - 89
Oral - 169
Poster only - 130
ePoster - 55</t>
  </si>
  <si>
    <t>MONDAY - post flash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</si>
</sst>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(&quot;£&quot;* #,##0.00_);_(&quot;£&quot;* \(#,##0.00\);_(&quot;£&quot;* &quot;-&quot;??_);_(@_)"/>
    <numFmt numFmtId="166" formatCode="&quot;£&quot;#,##0.00"/>
    <numFmt numFmtId="167" formatCode="_-[$£-809]* #,##0.00_-;\-[$£-809]* #,##0.00_-;_-[$£-809]* &quot;-&quot;??_-;_-@_-"/>
    <numFmt numFmtId="168" formatCode="&quot;£&quot;#,##0.00;[Red]&quot;£&quot;#,##0.00"/>
    <numFmt numFmtId="169" formatCode="_-* #,##0_-;\-* #,##0_-;_-* &quot;-&quot;??_-;_-@_-"/>
  </numFmts>
  <fonts count="47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Calibri"/>
      <family val="2"/>
      <scheme val="minor"/>
    </font>
    <font>
      <b/>
      <sz val="10"/>
      <color theme="8" tint="-0.499984740745262"/>
      <name val="Arial"/>
      <family val="2"/>
    </font>
    <font>
      <b/>
      <sz val="10"/>
      <color theme="8" tint="-0.249977111117893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theme="3" tint="-0.49998474074526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FFFF00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90"/>
      <name val="Arial"/>
      <family val="2"/>
    </font>
    <font>
      <b/>
      <sz val="12"/>
      <color rgb="FF00009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9DB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B2E300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rgb="FFCC148D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62">
    <xf numFmtId="0" fontId="0" fillId="0" borderId="0"/>
    <xf numFmtId="0" fontId="5" fillId="0" borderId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96">
    <xf numFmtId="0" fontId="0" fillId="0" borderId="0" xfId="0"/>
    <xf numFmtId="0" fontId="4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5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5" fillId="0" borderId="0" xfId="0" applyFont="1"/>
    <xf numFmtId="0" fontId="4" fillId="2" borderId="1" xfId="0" applyFont="1" applyFill="1" applyBorder="1"/>
    <xf numFmtId="0" fontId="0" fillId="2" borderId="1" xfId="0" applyFill="1" applyBorder="1"/>
    <xf numFmtId="0" fontId="0" fillId="0" borderId="1" xfId="0" applyBorder="1"/>
    <xf numFmtId="0" fontId="5" fillId="0" borderId="2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3" borderId="0" xfId="0" applyFont="1" applyFill="1"/>
    <xf numFmtId="14" fontId="1" fillId="3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166" fontId="3" fillId="4" borderId="0" xfId="0" applyNumberFormat="1" applyFont="1" applyFill="1"/>
    <xf numFmtId="164" fontId="3" fillId="4" borderId="0" xfId="0" applyNumberFormat="1" applyFont="1" applyFill="1" applyAlignment="1">
      <alignment horizontal="right"/>
    </xf>
    <xf numFmtId="167" fontId="3" fillId="4" borderId="0" xfId="0" applyNumberFormat="1" applyFont="1" applyFill="1"/>
    <xf numFmtId="0" fontId="7" fillId="5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left"/>
    </xf>
    <xf numFmtId="166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7" fontId="5" fillId="0" borderId="0" xfId="0" applyNumberFormat="1" applyFont="1"/>
    <xf numFmtId="0" fontId="10" fillId="0" borderId="0" xfId="0" applyFont="1"/>
    <xf numFmtId="0" fontId="11" fillId="0" borderId="0" xfId="0" applyFont="1" applyAlignment="1">
      <alignment horizontal="center"/>
    </xf>
    <xf numFmtId="0" fontId="4" fillId="0" borderId="0" xfId="1" applyFont="1" applyAlignment="1">
      <alignment horizontal="left"/>
    </xf>
    <xf numFmtId="166" fontId="5" fillId="0" borderId="0" xfId="0" applyNumberFormat="1" applyFont="1" applyAlignment="1">
      <alignment horizontal="center"/>
    </xf>
    <xf numFmtId="167" fontId="4" fillId="0" borderId="0" xfId="0" applyNumberFormat="1" applyFont="1"/>
    <xf numFmtId="17" fontId="3" fillId="5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4" fillId="7" borderId="1" xfId="0" applyFont="1" applyFill="1" applyBorder="1" applyAlignment="1">
      <alignment horizontal="right"/>
    </xf>
    <xf numFmtId="164" fontId="0" fillId="8" borderId="1" xfId="0" applyNumberFormat="1" applyFill="1" applyBorder="1" applyAlignment="1">
      <alignment horizontal="right"/>
    </xf>
    <xf numFmtId="164" fontId="4" fillId="7" borderId="1" xfId="0" applyNumberFormat="1" applyFont="1" applyFill="1" applyBorder="1" applyAlignment="1">
      <alignment horizontal="right"/>
    </xf>
    <xf numFmtId="164" fontId="0" fillId="0" borderId="0" xfId="0" applyNumberFormat="1"/>
    <xf numFmtId="164" fontId="5" fillId="0" borderId="0" xfId="0" applyNumberFormat="1" applyFont="1" applyAlignment="1">
      <alignment horizontal="center"/>
    </xf>
    <xf numFmtId="168" fontId="15" fillId="9" borderId="0" xfId="2" applyNumberFormat="1" applyFont="1" applyFill="1" applyAlignment="1">
      <alignment horizontal="right"/>
    </xf>
    <xf numFmtId="0" fontId="3" fillId="4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0" xfId="0" applyFont="1"/>
    <xf numFmtId="166" fontId="18" fillId="6" borderId="0" xfId="0" applyNumberFormat="1" applyFont="1" applyFill="1"/>
    <xf numFmtId="0" fontId="4" fillId="6" borderId="1" xfId="0" applyFont="1" applyFill="1" applyBorder="1"/>
    <xf numFmtId="164" fontId="0" fillId="10" borderId="1" xfId="0" applyNumberFormat="1" applyFill="1" applyBorder="1" applyAlignment="1">
      <alignment horizontal="right"/>
    </xf>
    <xf numFmtId="164" fontId="4" fillId="10" borderId="1" xfId="0" applyNumberFormat="1" applyFont="1" applyFill="1" applyBorder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164" fontId="22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/>
    <xf numFmtId="0" fontId="19" fillId="0" borderId="0" xfId="0" applyFont="1"/>
    <xf numFmtId="0" fontId="0" fillId="6" borderId="0" xfId="0" applyFill="1"/>
    <xf numFmtId="0" fontId="20" fillId="0" borderId="0" xfId="0" applyFont="1"/>
    <xf numFmtId="164" fontId="4" fillId="11" borderId="1" xfId="0" applyNumberFormat="1" applyFont="1" applyFill="1" applyBorder="1" applyAlignment="1">
      <alignment horizontal="right"/>
    </xf>
    <xf numFmtId="164" fontId="0" fillId="8" borderId="3" xfId="0" applyNumberFormat="1" applyFill="1" applyBorder="1" applyAlignment="1">
      <alignment horizontal="right"/>
    </xf>
    <xf numFmtId="0" fontId="4" fillId="11" borderId="1" xfId="0" applyFont="1" applyFill="1" applyBorder="1" applyAlignment="1">
      <alignment horizontal="left"/>
    </xf>
    <xf numFmtId="164" fontId="4" fillId="12" borderId="0" xfId="0" applyNumberFormat="1" applyFont="1" applyFill="1" applyAlignment="1">
      <alignment horizontal="right"/>
    </xf>
    <xf numFmtId="164" fontId="4" fillId="12" borderId="0" xfId="0" applyNumberFormat="1" applyFont="1" applyFill="1" applyAlignment="1">
      <alignment horizontal="left"/>
    </xf>
    <xf numFmtId="0" fontId="3" fillId="13" borderId="0" xfId="0" applyFont="1" applyFill="1" applyAlignment="1">
      <alignment horizontal="center" vertical="top"/>
    </xf>
    <xf numFmtId="164" fontId="4" fillId="13" borderId="0" xfId="0" applyNumberFormat="1" applyFont="1" applyFill="1" applyAlignment="1">
      <alignment horizontal="right"/>
    </xf>
    <xf numFmtId="167" fontId="24" fillId="13" borderId="0" xfId="0" applyNumberFormat="1" applyFont="1" applyFill="1"/>
    <xf numFmtId="0" fontId="3" fillId="0" borderId="0" xfId="0" applyFont="1" applyAlignment="1">
      <alignment horizontal="left"/>
    </xf>
    <xf numFmtId="0" fontId="3" fillId="0" borderId="0" xfId="0" applyFont="1"/>
    <xf numFmtId="166" fontId="18" fillId="0" borderId="0" xfId="0" applyNumberFormat="1" applyFont="1"/>
    <xf numFmtId="164" fontId="3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/>
    </xf>
    <xf numFmtId="167" fontId="24" fillId="0" borderId="0" xfId="0" applyNumberFormat="1" applyFont="1"/>
    <xf numFmtId="164" fontId="25" fillId="13" borderId="0" xfId="0" applyNumberFormat="1" applyFont="1" applyFill="1" applyAlignment="1">
      <alignment horizontal="right" vertical="top"/>
    </xf>
    <xf numFmtId="167" fontId="0" fillId="0" borderId="0" xfId="0" applyNumberFormat="1"/>
    <xf numFmtId="0" fontId="3" fillId="13" borderId="0" xfId="0" applyFont="1" applyFill="1" applyAlignment="1">
      <alignment horizontal="left"/>
    </xf>
    <xf numFmtId="0" fontId="3" fillId="13" borderId="0" xfId="0" applyFont="1" applyFill="1"/>
    <xf numFmtId="164" fontId="4" fillId="11" borderId="1" xfId="0" applyNumberFormat="1" applyFont="1" applyFill="1" applyBorder="1" applyAlignment="1">
      <alignment horizontal="left"/>
    </xf>
    <xf numFmtId="0" fontId="26" fillId="0" borderId="0" xfId="0" applyFont="1"/>
    <xf numFmtId="166" fontId="0" fillId="0" borderId="0" xfId="0" applyNumberFormat="1"/>
    <xf numFmtId="0" fontId="27" fillId="0" borderId="0" xfId="0" applyFont="1" applyAlignment="1">
      <alignment horizontal="right"/>
    </xf>
    <xf numFmtId="49" fontId="4" fillId="12" borderId="0" xfId="0" applyNumberFormat="1" applyFont="1" applyFill="1" applyAlignment="1">
      <alignment horizontal="right"/>
    </xf>
    <xf numFmtId="49" fontId="4" fillId="12" borderId="0" xfId="0" applyNumberFormat="1" applyFont="1" applyFill="1"/>
    <xf numFmtId="49" fontId="3" fillId="4" borderId="0" xfId="0" applyNumberFormat="1" applyFont="1" applyFill="1"/>
    <xf numFmtId="49" fontId="0" fillId="0" borderId="0" xfId="0" applyNumberFormat="1"/>
    <xf numFmtId="0" fontId="19" fillId="0" borderId="0" xfId="0" applyFont="1" applyAlignment="1">
      <alignment horizontal="center" vertical="top"/>
    </xf>
    <xf numFmtId="164" fontId="19" fillId="0" borderId="0" xfId="0" applyNumberFormat="1" applyFont="1"/>
    <xf numFmtId="0" fontId="28" fillId="0" borderId="0" xfId="0" applyFont="1"/>
    <xf numFmtId="164" fontId="28" fillId="0" borderId="0" xfId="0" applyNumberFormat="1" applyFont="1"/>
    <xf numFmtId="0" fontId="26" fillId="0" borderId="1" xfId="0" applyFont="1" applyBorder="1" applyAlignment="1">
      <alignment horizontal="right"/>
    </xf>
    <xf numFmtId="14" fontId="26" fillId="0" borderId="0" xfId="0" applyNumberFormat="1" applyFont="1" applyAlignment="1">
      <alignment horizontal="center" vertical="top"/>
    </xf>
    <xf numFmtId="164" fontId="24" fillId="0" borderId="0" xfId="0" applyNumberFormat="1" applyFont="1" applyAlignment="1">
      <alignment horizontal="center" vertical="top"/>
    </xf>
    <xf numFmtId="0" fontId="0" fillId="8" borderId="0" xfId="0" applyFill="1" applyAlignment="1">
      <alignment horizontal="right"/>
    </xf>
    <xf numFmtId="164" fontId="0" fillId="8" borderId="0" xfId="0" applyNumberFormat="1" applyFill="1" applyAlignment="1">
      <alignment horizontal="right"/>
    </xf>
    <xf numFmtId="0" fontId="1" fillId="14" borderId="1" xfId="0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2" fillId="14" borderId="0" xfId="0" applyFont="1" applyFill="1" applyAlignment="1">
      <alignment horizontal="right"/>
    </xf>
    <xf numFmtId="0" fontId="3" fillId="14" borderId="0" xfId="0" applyFont="1" applyFill="1"/>
    <xf numFmtId="14" fontId="1" fillId="14" borderId="1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vertical="top"/>
    </xf>
    <xf numFmtId="0" fontId="3" fillId="13" borderId="0" xfId="0" applyFont="1" applyFill="1" applyAlignment="1">
      <alignment horizontal="left" vertical="top"/>
    </xf>
    <xf numFmtId="164" fontId="2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9" fillId="0" borderId="0" xfId="0" applyFont="1"/>
    <xf numFmtId="167" fontId="3" fillId="4" borderId="0" xfId="0" applyNumberFormat="1" applyFont="1" applyFill="1" applyAlignment="1">
      <alignment horizontal="left"/>
    </xf>
    <xf numFmtId="164" fontId="4" fillId="13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5" borderId="0" xfId="0" applyFont="1" applyFill="1" applyAlignment="1">
      <alignment horizontal="left"/>
    </xf>
    <xf numFmtId="0" fontId="0" fillId="0" borderId="0" xfId="0" quotePrefix="1" applyAlignment="1">
      <alignment horizontal="left"/>
    </xf>
    <xf numFmtId="169" fontId="3" fillId="4" borderId="0" xfId="3" applyNumberFormat="1" applyFont="1" applyFill="1" applyAlignment="1">
      <alignment horizontal="left"/>
    </xf>
    <xf numFmtId="166" fontId="4" fillId="12" borderId="0" xfId="0" applyNumberFormat="1" applyFont="1" applyFill="1" applyAlignment="1">
      <alignment horizontal="right"/>
    </xf>
    <xf numFmtId="166" fontId="4" fillId="12" borderId="0" xfId="0" applyNumberFormat="1" applyFont="1" applyFill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left"/>
    </xf>
    <xf numFmtId="166" fontId="0" fillId="8" borderId="0" xfId="0" applyNumberFormat="1" applyFill="1"/>
    <xf numFmtId="0" fontId="26" fillId="8" borderId="0" xfId="0" applyFont="1" applyFill="1"/>
    <xf numFmtId="0" fontId="0" fillId="15" borderId="0" xfId="0" applyFill="1"/>
    <xf numFmtId="0" fontId="2" fillId="14" borderId="0" xfId="0" applyFont="1" applyFill="1" applyAlignment="1">
      <alignment horizontal="center"/>
    </xf>
    <xf numFmtId="0" fontId="4" fillId="6" borderId="0" xfId="0" applyFont="1" applyFill="1"/>
    <xf numFmtId="166" fontId="20" fillId="0" borderId="0" xfId="0" applyNumberFormat="1" applyFont="1"/>
    <xf numFmtId="166" fontId="20" fillId="8" borderId="0" xfId="0" applyNumberFormat="1" applyFont="1" applyFill="1"/>
    <xf numFmtId="0" fontId="27" fillId="0" borderId="0" xfId="0" applyFont="1"/>
    <xf numFmtId="0" fontId="27" fillId="0" borderId="0" xfId="0" applyFont="1" applyAlignment="1">
      <alignment horizontal="left"/>
    </xf>
    <xf numFmtId="166" fontId="30" fillId="0" borderId="0" xfId="0" applyNumberFormat="1" applyFont="1"/>
    <xf numFmtId="166" fontId="27" fillId="0" borderId="0" xfId="0" applyNumberFormat="1" applyFont="1"/>
    <xf numFmtId="164" fontId="0" fillId="0" borderId="0" xfId="0" applyNumberFormat="1" applyAlignment="1">
      <alignment horizontal="right"/>
    </xf>
    <xf numFmtId="164" fontId="26" fillId="0" borderId="0" xfId="0" applyNumberFormat="1" applyFont="1"/>
    <xf numFmtId="0" fontId="19" fillId="0" borderId="0" xfId="0" applyFont="1" applyAlignment="1">
      <alignment horizontal="left"/>
    </xf>
    <xf numFmtId="0" fontId="3" fillId="5" borderId="0" xfId="0" applyFont="1" applyFill="1"/>
    <xf numFmtId="14" fontId="1" fillId="5" borderId="1" xfId="0" applyNumberFormat="1" applyFont="1" applyFill="1" applyBorder="1" applyAlignment="1">
      <alignment horizontal="center"/>
    </xf>
    <xf numFmtId="166" fontId="19" fillId="0" borderId="0" xfId="0" applyNumberFormat="1" applyFont="1"/>
    <xf numFmtId="0" fontId="19" fillId="0" borderId="0" xfId="0" quotePrefix="1" applyFont="1" applyAlignment="1">
      <alignment horizontal="left"/>
    </xf>
    <xf numFmtId="0" fontId="24" fillId="6" borderId="0" xfId="0" applyFont="1" applyFill="1" applyAlignment="1">
      <alignment horizontal="center"/>
    </xf>
    <xf numFmtId="0" fontId="1" fillId="16" borderId="1" xfId="0" applyFont="1" applyFill="1" applyBorder="1" applyAlignment="1">
      <alignment horizontal="left"/>
    </xf>
    <xf numFmtId="0" fontId="3" fillId="16" borderId="0" xfId="0" applyFont="1" applyFill="1"/>
    <xf numFmtId="14" fontId="1" fillId="16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0" xfId="0" applyFont="1" applyFill="1" applyAlignment="1">
      <alignment horizontal="right"/>
    </xf>
    <xf numFmtId="14" fontId="1" fillId="4" borderId="1" xfId="0" applyNumberFormat="1" applyFont="1" applyFill="1" applyBorder="1" applyAlignment="1">
      <alignment horizontal="center"/>
    </xf>
    <xf numFmtId="0" fontId="3" fillId="17" borderId="0" xfId="0" applyFont="1" applyFill="1" applyAlignment="1">
      <alignment horizontal="left"/>
    </xf>
    <xf numFmtId="0" fontId="3" fillId="17" borderId="0" xfId="0" applyFont="1" applyFill="1"/>
    <xf numFmtId="0" fontId="3" fillId="17" borderId="0" xfId="0" applyFont="1" applyFill="1" applyAlignment="1">
      <alignment horizontal="left" vertical="top"/>
    </xf>
    <xf numFmtId="167" fontId="24" fillId="17" borderId="0" xfId="0" applyNumberFormat="1" applyFont="1" applyFill="1"/>
    <xf numFmtId="164" fontId="4" fillId="17" borderId="0" xfId="0" applyNumberFormat="1" applyFont="1" applyFill="1" applyAlignment="1">
      <alignment horizontal="left"/>
    </xf>
    <xf numFmtId="164" fontId="3" fillId="17" borderId="0" xfId="0" applyNumberFormat="1" applyFont="1" applyFill="1" applyAlignment="1">
      <alignment horizontal="right" vertical="top"/>
    </xf>
    <xf numFmtId="164" fontId="31" fillId="17" borderId="0" xfId="0" applyNumberFormat="1" applyFont="1" applyFill="1" applyAlignment="1">
      <alignment horizontal="right"/>
    </xf>
    <xf numFmtId="0" fontId="25" fillId="0" borderId="0" xfId="0" applyFont="1"/>
    <xf numFmtId="0" fontId="20" fillId="0" borderId="0" xfId="0" applyFont="1" applyAlignment="1">
      <alignment horizontal="left"/>
    </xf>
    <xf numFmtId="0" fontId="20" fillId="0" borderId="0" xfId="0" quotePrefix="1" applyFont="1" applyAlignment="1">
      <alignment horizontal="left"/>
    </xf>
    <xf numFmtId="0" fontId="4" fillId="2" borderId="0" xfId="0" applyFont="1" applyFill="1"/>
    <xf numFmtId="0" fontId="0" fillId="2" borderId="0" xfId="0" applyFill="1" applyAlignment="1">
      <alignment horizontal="right"/>
    </xf>
    <xf numFmtId="164" fontId="0" fillId="10" borderId="0" xfId="0" applyNumberFormat="1" applyFill="1" applyAlignment="1">
      <alignment horizontal="right"/>
    </xf>
    <xf numFmtId="0" fontId="0" fillId="2" borderId="0" xfId="0" applyFill="1"/>
    <xf numFmtId="0" fontId="20" fillId="15" borderId="0" xfId="0" applyFont="1" applyFill="1"/>
    <xf numFmtId="164" fontId="0" fillId="6" borderId="0" xfId="0" applyNumberFormat="1" applyFill="1"/>
    <xf numFmtId="17" fontId="3" fillId="5" borderId="4" xfId="0" applyNumberFormat="1" applyFont="1" applyFill="1" applyBorder="1" applyAlignment="1">
      <alignment horizontal="right"/>
    </xf>
    <xf numFmtId="0" fontId="0" fillId="8" borderId="4" xfId="0" applyFill="1" applyBorder="1" applyAlignment="1">
      <alignment horizontal="right"/>
    </xf>
    <xf numFmtId="0" fontId="0" fillId="7" borderId="4" xfId="0" applyFill="1" applyBorder="1" applyAlignment="1">
      <alignment horizontal="right"/>
    </xf>
    <xf numFmtId="0" fontId="4" fillId="7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164" fontId="0" fillId="10" borderId="4" xfId="0" applyNumberFormat="1" applyFill="1" applyBorder="1" applyAlignment="1">
      <alignment horizontal="right"/>
    </xf>
    <xf numFmtId="164" fontId="0" fillId="8" borderId="4" xfId="0" applyNumberForma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4" fillId="7" borderId="5" xfId="0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0" fontId="32" fillId="0" borderId="0" xfId="0" applyFont="1"/>
    <xf numFmtId="0" fontId="4" fillId="18" borderId="1" xfId="0" applyFont="1" applyFill="1" applyBorder="1"/>
    <xf numFmtId="1" fontId="0" fillId="0" borderId="0" xfId="0" applyNumberFormat="1"/>
    <xf numFmtId="0" fontId="0" fillId="0" borderId="0" xfId="0" applyAlignment="1">
      <alignment vertical="center"/>
    </xf>
    <xf numFmtId="9" fontId="0" fillId="0" borderId="0" xfId="0" applyNumberFormat="1"/>
    <xf numFmtId="9" fontId="0" fillId="0" borderId="0" xfId="0" applyNumberFormat="1" applyAlignment="1">
      <alignment vertical="center"/>
    </xf>
    <xf numFmtId="0" fontId="1" fillId="19" borderId="1" xfId="0" applyFont="1" applyFill="1" applyBorder="1" applyAlignment="1">
      <alignment horizontal="left"/>
    </xf>
    <xf numFmtId="0" fontId="3" fillId="20" borderId="0" xfId="0" applyFont="1" applyFill="1"/>
    <xf numFmtId="14" fontId="1" fillId="20" borderId="1" xfId="0" applyNumberFormat="1" applyFont="1" applyFill="1" applyBorder="1" applyAlignment="1">
      <alignment horizontal="center"/>
    </xf>
    <xf numFmtId="0" fontId="6" fillId="19" borderId="0" xfId="0" applyFont="1" applyFill="1" applyAlignment="1">
      <alignment horizontal="center"/>
    </xf>
    <xf numFmtId="0" fontId="3" fillId="19" borderId="0" xfId="0" applyFont="1" applyFill="1"/>
    <xf numFmtId="0" fontId="3" fillId="19" borderId="0" xfId="0" applyFont="1" applyFill="1" applyAlignment="1">
      <alignment horizontal="left"/>
    </xf>
    <xf numFmtId="0" fontId="3" fillId="19" borderId="0" xfId="0" applyFont="1" applyFill="1" applyAlignment="1">
      <alignment horizontal="left" vertical="top"/>
    </xf>
    <xf numFmtId="166" fontId="3" fillId="19" borderId="0" xfId="0" applyNumberFormat="1" applyFont="1" applyFill="1"/>
    <xf numFmtId="164" fontId="3" fillId="19" borderId="0" xfId="0" applyNumberFormat="1" applyFont="1" applyFill="1" applyAlignment="1">
      <alignment horizontal="right"/>
    </xf>
    <xf numFmtId="167" fontId="3" fillId="19" borderId="0" xfId="0" applyNumberFormat="1" applyFont="1" applyFill="1"/>
    <xf numFmtId="167" fontId="3" fillId="19" borderId="0" xfId="0" applyNumberFormat="1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35" fillId="5" borderId="0" xfId="0" quotePrefix="1" applyFont="1" applyFill="1" applyAlignment="1">
      <alignment horizontal="left"/>
    </xf>
    <xf numFmtId="14" fontId="1" fillId="20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0" fillId="0" borderId="4" xfId="0" applyBorder="1"/>
    <xf numFmtId="0" fontId="4" fillId="2" borderId="4" xfId="0" applyFont="1" applyFill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2" borderId="4" xfId="0" applyFill="1" applyBorder="1"/>
    <xf numFmtId="0" fontId="3" fillId="20" borderId="1" xfId="0" applyFont="1" applyFill="1" applyBorder="1"/>
    <xf numFmtId="0" fontId="36" fillId="21" borderId="0" xfId="0" applyFont="1" applyFill="1" applyAlignment="1">
      <alignment horizontal="left"/>
    </xf>
    <xf numFmtId="164" fontId="26" fillId="6" borderId="0" xfId="0" applyNumberFormat="1" applyFont="1" applyFill="1"/>
    <xf numFmtId="0" fontId="0" fillId="6" borderId="1" xfId="0" applyFill="1" applyBorder="1" applyAlignment="1">
      <alignment horizontal="right"/>
    </xf>
    <xf numFmtId="164" fontId="0" fillId="22" borderId="0" xfId="0" applyNumberFormat="1" applyFill="1"/>
    <xf numFmtId="0" fontId="35" fillId="23" borderId="0" xfId="0" applyFont="1" applyFill="1"/>
    <xf numFmtId="0" fontId="37" fillId="0" borderId="0" xfId="0" applyFont="1" applyAlignment="1">
      <alignment horizontal="center"/>
    </xf>
    <xf numFmtId="0" fontId="0" fillId="24" borderId="1" xfId="0" applyFill="1" applyBorder="1" applyAlignment="1">
      <alignment horizontal="right"/>
    </xf>
    <xf numFmtId="1" fontId="0" fillId="25" borderId="0" xfId="0" applyNumberFormat="1" applyFill="1"/>
    <xf numFmtId="14" fontId="1" fillId="26" borderId="1" xfId="0" applyNumberFormat="1" applyFont="1" applyFill="1" applyBorder="1" applyAlignment="1">
      <alignment horizontal="center"/>
    </xf>
    <xf numFmtId="0" fontId="35" fillId="27" borderId="0" xfId="0" applyFont="1" applyFill="1"/>
    <xf numFmtId="0" fontId="35" fillId="5" borderId="0" xfId="0" applyFont="1" applyFill="1" applyAlignment="1">
      <alignment horizontal="right"/>
    </xf>
    <xf numFmtId="0" fontId="1" fillId="28" borderId="1" xfId="0" applyFont="1" applyFill="1" applyBorder="1" applyAlignment="1">
      <alignment horizontal="left"/>
    </xf>
    <xf numFmtId="0" fontId="38" fillId="28" borderId="0" xfId="0" applyFont="1" applyFill="1"/>
    <xf numFmtId="14" fontId="39" fillId="28" borderId="4" xfId="0" applyNumberFormat="1" applyFont="1" applyFill="1" applyBorder="1" applyAlignment="1">
      <alignment horizontal="center"/>
    </xf>
    <xf numFmtId="0" fontId="2" fillId="29" borderId="0" xfId="0" applyFont="1" applyFill="1" applyAlignment="1">
      <alignment horizontal="right"/>
    </xf>
    <xf numFmtId="0" fontId="3" fillId="29" borderId="1" xfId="0" applyFont="1" applyFill="1" applyBorder="1"/>
    <xf numFmtId="14" fontId="1" fillId="29" borderId="1" xfId="0" applyNumberFormat="1" applyFont="1" applyFill="1" applyBorder="1" applyAlignment="1">
      <alignment horizontal="center"/>
    </xf>
    <xf numFmtId="164" fontId="5" fillId="30" borderId="1" xfId="0" applyNumberFormat="1" applyFont="1" applyFill="1" applyBorder="1" applyAlignment="1">
      <alignment horizontal="left"/>
    </xf>
    <xf numFmtId="164" fontId="0" fillId="30" borderId="1" xfId="0" applyNumberFormat="1" applyFill="1" applyBorder="1" applyAlignment="1">
      <alignment horizontal="right"/>
    </xf>
    <xf numFmtId="164" fontId="0" fillId="30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left"/>
    </xf>
    <xf numFmtId="0" fontId="38" fillId="6" borderId="0" xfId="0" applyFont="1" applyFill="1"/>
    <xf numFmtId="0" fontId="26" fillId="0" borderId="4" xfId="0" applyFont="1" applyBorder="1" applyAlignment="1">
      <alignment horizontal="right"/>
    </xf>
    <xf numFmtId="0" fontId="35" fillId="5" borderId="0" xfId="0" applyFont="1" applyFill="1"/>
    <xf numFmtId="164" fontId="35" fillId="27" borderId="0" xfId="0" quotePrefix="1" applyNumberFormat="1" applyFont="1" applyFill="1"/>
    <xf numFmtId="14" fontId="39" fillId="6" borderId="4" xfId="0" applyNumberFormat="1" applyFont="1" applyFill="1" applyBorder="1" applyAlignment="1">
      <alignment horizontal="center"/>
    </xf>
    <xf numFmtId="0" fontId="3" fillId="29" borderId="0" xfId="0" applyFont="1" applyFill="1"/>
    <xf numFmtId="14" fontId="1" fillId="29" borderId="4" xfId="0" applyNumberFormat="1" applyFont="1" applyFill="1" applyBorder="1" applyAlignment="1">
      <alignment horizontal="center"/>
    </xf>
    <xf numFmtId="0" fontId="0" fillId="24" borderId="4" xfId="0" applyFill="1" applyBorder="1" applyAlignment="1">
      <alignment horizontal="right"/>
    </xf>
    <xf numFmtId="0" fontId="1" fillId="31" borderId="1" xfId="0" applyFont="1" applyFill="1" applyBorder="1" applyAlignment="1">
      <alignment horizontal="left"/>
    </xf>
    <xf numFmtId="15" fontId="1" fillId="31" borderId="1" xfId="0" applyNumberFormat="1" applyFont="1" applyFill="1" applyBorder="1" applyAlignment="1">
      <alignment horizontal="left"/>
    </xf>
    <xf numFmtId="0" fontId="32" fillId="2" borderId="4" xfId="0" applyFont="1" applyFill="1" applyBorder="1" applyAlignment="1">
      <alignment horizontal="right"/>
    </xf>
    <xf numFmtId="164" fontId="26" fillId="30" borderId="4" xfId="0" applyNumberFormat="1" applyFont="1" applyFill="1" applyBorder="1" applyAlignment="1">
      <alignment horizontal="right"/>
    </xf>
    <xf numFmtId="0" fontId="40" fillId="6" borderId="1" xfId="0" applyFont="1" applyFill="1" applyBorder="1" applyAlignment="1">
      <alignment horizontal="left"/>
    </xf>
    <xf numFmtId="164" fontId="35" fillId="5" borderId="0" xfId="0" applyNumberFormat="1" applyFont="1" applyFill="1"/>
    <xf numFmtId="0" fontId="32" fillId="0" borderId="4" xfId="0" applyFont="1" applyBorder="1" applyAlignment="1">
      <alignment horizontal="right"/>
    </xf>
    <xf numFmtId="15" fontId="41" fillId="6" borderId="1" xfId="0" applyNumberFormat="1" applyFont="1" applyFill="1" applyBorder="1" applyAlignment="1">
      <alignment horizontal="left"/>
    </xf>
    <xf numFmtId="0" fontId="41" fillId="6" borderId="1" xfId="0" applyFont="1" applyFill="1" applyBorder="1" applyAlignment="1">
      <alignment horizontal="left"/>
    </xf>
    <xf numFmtId="0" fontId="42" fillId="5" borderId="1" xfId="0" applyFont="1" applyFill="1" applyBorder="1" applyAlignment="1">
      <alignment horizontal="left"/>
    </xf>
    <xf numFmtId="15" fontId="42" fillId="5" borderId="1" xfId="0" applyNumberFormat="1" applyFont="1" applyFill="1" applyBorder="1" applyAlignment="1">
      <alignment horizontal="left"/>
    </xf>
    <xf numFmtId="0" fontId="1" fillId="32" borderId="1" xfId="0" applyFont="1" applyFill="1" applyBorder="1" applyAlignment="1">
      <alignment horizontal="left"/>
    </xf>
    <xf numFmtId="15" fontId="1" fillId="32" borderId="1" xfId="0" applyNumberFormat="1" applyFont="1" applyFill="1" applyBorder="1" applyAlignment="1">
      <alignment horizontal="left"/>
    </xf>
    <xf numFmtId="0" fontId="32" fillId="2" borderId="0" xfId="0" applyFont="1" applyFill="1" applyAlignment="1">
      <alignment horizontal="right"/>
    </xf>
    <xf numFmtId="14" fontId="1" fillId="32" borderId="0" xfId="0" applyNumberFormat="1" applyFont="1" applyFill="1" applyAlignment="1">
      <alignment horizontal="left"/>
    </xf>
    <xf numFmtId="0" fontId="26" fillId="15" borderId="0" xfId="0" applyFont="1" applyFill="1"/>
    <xf numFmtId="0" fontId="4" fillId="6" borderId="0" xfId="0" applyFont="1" applyFill="1" applyAlignment="1">
      <alignment horizontal="center"/>
    </xf>
    <xf numFmtId="0" fontId="0" fillId="0" borderId="4" xfId="0" applyBorder="1" applyAlignment="1">
      <alignment horizontal="right" indent="1"/>
    </xf>
    <xf numFmtId="0" fontId="43" fillId="5" borderId="0" xfId="0" applyFont="1" applyFill="1"/>
    <xf numFmtId="0" fontId="4" fillId="2" borderId="0" xfId="0" applyFont="1" applyFill="1" applyAlignment="1">
      <alignment horizontal="right"/>
    </xf>
    <xf numFmtId="14" fontId="1" fillId="32" borderId="0" xfId="0" applyNumberFormat="1" applyFont="1" applyFill="1" applyAlignment="1">
      <alignment horizontal="right"/>
    </xf>
    <xf numFmtId="15" fontId="1" fillId="32" borderId="1" xfId="0" applyNumberFormat="1" applyFont="1" applyFill="1" applyBorder="1" applyAlignment="1">
      <alignment horizontal="right"/>
    </xf>
    <xf numFmtId="0" fontId="0" fillId="6" borderId="0" xfId="0" applyFill="1" applyAlignment="1">
      <alignment horizontal="right"/>
    </xf>
    <xf numFmtId="0" fontId="26" fillId="0" borderId="0" xfId="0" applyFont="1" applyAlignment="1">
      <alignment horizontal="right"/>
    </xf>
    <xf numFmtId="0" fontId="26" fillId="15" borderId="0" xfId="0" applyFont="1" applyFill="1" applyAlignment="1">
      <alignment horizontal="right"/>
    </xf>
    <xf numFmtId="0" fontId="26" fillId="33" borderId="0" xfId="0" applyFont="1" applyFill="1" applyAlignment="1">
      <alignment wrapText="1"/>
    </xf>
    <xf numFmtId="0" fontId="26" fillId="10" borderId="0" xfId="0" applyFont="1" applyFill="1" applyAlignment="1">
      <alignment wrapText="1"/>
    </xf>
    <xf numFmtId="165" fontId="43" fillId="5" borderId="0" xfId="0" applyNumberFormat="1" applyFont="1" applyFill="1"/>
    <xf numFmtId="165" fontId="0" fillId="0" borderId="0" xfId="0" applyNumberFormat="1"/>
    <xf numFmtId="1" fontId="0" fillId="0" borderId="4" xfId="0" applyNumberFormat="1" applyBorder="1" applyAlignment="1">
      <alignment horizontal="right" indent="1"/>
    </xf>
    <xf numFmtId="0" fontId="0" fillId="0" borderId="6" xfId="0" applyBorder="1" applyAlignment="1">
      <alignment horizontal="right"/>
    </xf>
    <xf numFmtId="14" fontId="40" fillId="6" borderId="0" xfId="0" applyNumberFormat="1" applyFont="1" applyFill="1" applyAlignment="1">
      <alignment horizontal="right"/>
    </xf>
    <xf numFmtId="1" fontId="4" fillId="2" borderId="4" xfId="0" applyNumberFormat="1" applyFont="1" applyFill="1" applyBorder="1" applyAlignment="1">
      <alignment horizontal="right"/>
    </xf>
    <xf numFmtId="0" fontId="0" fillId="0" borderId="4" xfId="0" applyBorder="1" applyAlignment="1">
      <alignment horizontal="right" vertical="top" indent="1"/>
    </xf>
    <xf numFmtId="14" fontId="44" fillId="32" borderId="0" xfId="0" applyNumberFormat="1" applyFont="1" applyFill="1" applyAlignment="1">
      <alignment horizontal="right"/>
    </xf>
    <xf numFmtId="1" fontId="35" fillId="5" borderId="0" xfId="0" applyNumberFormat="1" applyFont="1" applyFill="1"/>
    <xf numFmtId="0" fontId="43" fillId="34" borderId="0" xfId="0" applyFont="1" applyFill="1"/>
    <xf numFmtId="165" fontId="35" fillId="5" borderId="0" xfId="0" applyNumberFormat="1" applyFont="1" applyFill="1"/>
    <xf numFmtId="0" fontId="35" fillId="34" borderId="0" xfId="0" applyFont="1" applyFill="1"/>
    <xf numFmtId="0" fontId="0" fillId="6" borderId="4" xfId="0" applyFill="1" applyBorder="1" applyAlignment="1">
      <alignment horizontal="right"/>
    </xf>
    <xf numFmtId="15" fontId="1" fillId="32" borderId="0" xfId="0" applyNumberFormat="1" applyFont="1" applyFill="1" applyAlignment="1">
      <alignment horizontal="right"/>
    </xf>
    <xf numFmtId="0" fontId="0" fillId="0" borderId="0" xfId="0" applyAlignment="1">
      <alignment horizontal="right" vertical="top" indent="1"/>
    </xf>
    <xf numFmtId="1" fontId="4" fillId="2" borderId="0" xfId="0" applyNumberFormat="1" applyFont="1" applyFill="1" applyAlignment="1">
      <alignment horizontal="right"/>
    </xf>
    <xf numFmtId="164" fontId="26" fillId="30" borderId="0" xfId="0" applyNumberFormat="1" applyFont="1" applyFill="1" applyAlignment="1">
      <alignment horizontal="right"/>
    </xf>
    <xf numFmtId="164" fontId="0" fillId="30" borderId="0" xfId="0" applyNumberForma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5" fontId="1" fillId="6" borderId="0" xfId="0" applyNumberFormat="1" applyFont="1" applyFill="1" applyAlignment="1">
      <alignment horizontal="right"/>
    </xf>
    <xf numFmtId="14" fontId="45" fillId="6" borderId="0" xfId="0" applyNumberFormat="1" applyFont="1" applyFill="1" applyAlignment="1">
      <alignment horizontal="right"/>
    </xf>
    <xf numFmtId="0" fontId="0" fillId="15" borderId="4" xfId="0" applyFill="1" applyBorder="1" applyAlignment="1">
      <alignment horizontal="right"/>
    </xf>
    <xf numFmtId="164" fontId="0" fillId="15" borderId="4" xfId="0" applyNumberFormat="1" applyFill="1" applyBorder="1" applyAlignment="1">
      <alignment horizontal="right"/>
    </xf>
    <xf numFmtId="0" fontId="0" fillId="15" borderId="4" xfId="0" applyFill="1" applyBorder="1"/>
    <xf numFmtId="0" fontId="3" fillId="15" borderId="0" xfId="0" applyFont="1" applyFill="1"/>
    <xf numFmtId="14" fontId="1" fillId="15" borderId="4" xfId="0" applyNumberFormat="1" applyFont="1" applyFill="1" applyBorder="1" applyAlignment="1">
      <alignment horizontal="center"/>
    </xf>
    <xf numFmtId="17" fontId="3" fillId="15" borderId="4" xfId="0" applyNumberFormat="1" applyFont="1" applyFill="1" applyBorder="1" applyAlignment="1">
      <alignment horizontal="right"/>
    </xf>
    <xf numFmtId="0" fontId="4" fillId="15" borderId="4" xfId="0" applyFont="1" applyFill="1" applyBorder="1" applyAlignment="1">
      <alignment horizontal="right"/>
    </xf>
    <xf numFmtId="164" fontId="26" fillId="15" borderId="4" xfId="0" applyNumberFormat="1" applyFont="1" applyFill="1" applyBorder="1" applyAlignment="1">
      <alignment horizontal="right"/>
    </xf>
    <xf numFmtId="164" fontId="4" fillId="15" borderId="4" xfId="0" applyNumberFormat="1" applyFont="1" applyFill="1" applyBorder="1" applyAlignment="1">
      <alignment horizontal="right"/>
    </xf>
    <xf numFmtId="0" fontId="0" fillId="15" borderId="0" xfId="0" applyFill="1" applyAlignment="1">
      <alignment horizontal="right"/>
    </xf>
    <xf numFmtId="1" fontId="0" fillId="15" borderId="0" xfId="0" applyNumberFormat="1" applyFill="1"/>
    <xf numFmtId="15" fontId="1" fillId="14" borderId="1" xfId="0" applyNumberFormat="1" applyFont="1" applyFill="1" applyBorder="1" applyAlignment="1">
      <alignment horizontal="left"/>
    </xf>
    <xf numFmtId="0" fontId="1" fillId="14" borderId="4" xfId="0" applyFont="1" applyFill="1" applyBorder="1" applyAlignment="1">
      <alignment horizontal="left"/>
    </xf>
    <xf numFmtId="15" fontId="1" fillId="14" borderId="4" xfId="0" applyNumberFormat="1" applyFont="1" applyFill="1" applyBorder="1" applyAlignment="1">
      <alignment horizontal="left"/>
    </xf>
    <xf numFmtId="0" fontId="0" fillId="15" borderId="1" xfId="0" applyFill="1" applyBorder="1"/>
    <xf numFmtId="0" fontId="32" fillId="2" borderId="1" xfId="0" applyFont="1" applyFill="1" applyBorder="1" applyAlignment="1">
      <alignment horizontal="right"/>
    </xf>
    <xf numFmtId="0" fontId="0" fillId="15" borderId="1" xfId="0" applyFill="1" applyBorder="1" applyAlignment="1">
      <alignment horizontal="right"/>
    </xf>
    <xf numFmtId="164" fontId="0" fillId="15" borderId="1" xfId="0" applyNumberFormat="1" applyFill="1" applyBorder="1" applyAlignment="1">
      <alignment horizontal="right"/>
    </xf>
    <xf numFmtId="164" fontId="20" fillId="0" borderId="4" xfId="0" applyNumberFormat="1" applyFont="1" applyBorder="1" applyAlignment="1">
      <alignment horizontal="right"/>
    </xf>
    <xf numFmtId="164" fontId="20" fillId="10" borderId="1" xfId="0" applyNumberFormat="1" applyFont="1" applyFill="1" applyBorder="1" applyAlignment="1">
      <alignment horizontal="right"/>
    </xf>
    <xf numFmtId="164" fontId="46" fillId="2" borderId="4" xfId="0" applyNumberFormat="1" applyFont="1" applyFill="1" applyBorder="1" applyAlignment="1">
      <alignment horizontal="right"/>
    </xf>
  </cellXfs>
  <cellStyles count="462">
    <cellStyle name="Comma" xfId="3" builtinId="3"/>
    <cellStyle name="Currency" xfId="2" builtinId="4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Normal" xfId="0" builtinId="0"/>
    <cellStyle name="Normal 2" xfId="1" xr:uid="{00000000-0005-0000-0000-0000CD010000}"/>
  </cellStyles>
  <dxfs count="0"/>
  <tableStyles count="0" defaultTableStyle="TableStyleMedium2" defaultPivotStyle="PivotStyleLight16"/>
  <colors>
    <mruColors>
      <color rgb="FFCC148D"/>
      <color rgb="FFCCFFFF"/>
      <color rgb="FF33CCCC"/>
      <color rgb="FF009D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Profesional designations</a:t>
            </a:r>
          </a:p>
        </c:rich>
      </c:tx>
      <c:layout>
        <c:manualLayout>
          <c:xMode val="edge"/>
          <c:yMode val="edge"/>
          <c:x val="0.62291849494726004"/>
          <c:y val="1.264821819471089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'Marketing report 2014'!$A$28:$A$42</c:f>
              <c:strCache>
                <c:ptCount val="15"/>
                <c:pt idx="0">
                  <c:v>Radiologist (all specialities)</c:v>
                </c:pt>
                <c:pt idx="1">
                  <c:v>Radiographer (all levels)</c:v>
                </c:pt>
                <c:pt idx="2">
                  <c:v>Senior staff</c:v>
                </c:pt>
                <c:pt idx="3">
                  <c:v>Consultant</c:v>
                </c:pt>
                <c:pt idx="4">
                  <c:v>Manager level</c:v>
                </c:pt>
                <c:pt idx="5">
                  <c:v>Other</c:v>
                </c:pt>
                <c:pt idx="6">
                  <c:v>Trainee Radiologists</c:v>
                </c:pt>
                <c:pt idx="7">
                  <c:v>Student Radiographer</c:v>
                </c:pt>
                <c:pt idx="8">
                  <c:v>Physicist/Scientist/Engineer</c:v>
                </c:pt>
                <c:pt idx="9">
                  <c:v>Doctor/surgeon</c:v>
                </c:pt>
                <c:pt idx="10">
                  <c:v>Commercial</c:v>
                </c:pt>
                <c:pt idx="11">
                  <c:v>Nurse</c:v>
                </c:pt>
                <c:pt idx="12">
                  <c:v>Press</c:v>
                </c:pt>
                <c:pt idx="13">
                  <c:v>lecturer/Professors</c:v>
                </c:pt>
                <c:pt idx="14">
                  <c:v>Undisclosed</c:v>
                </c:pt>
              </c:strCache>
            </c:strRef>
          </c:cat>
          <c:val>
            <c:numRef>
              <c:f>'Marketing report 2014'!$B$28:$B$42</c:f>
              <c:numCache>
                <c:formatCode>General</c:formatCode>
                <c:ptCount val="15"/>
                <c:pt idx="0">
                  <c:v>391</c:v>
                </c:pt>
                <c:pt idx="1">
                  <c:v>406</c:v>
                </c:pt>
                <c:pt idx="2">
                  <c:v>58</c:v>
                </c:pt>
                <c:pt idx="3">
                  <c:v>43</c:v>
                </c:pt>
                <c:pt idx="4">
                  <c:v>116</c:v>
                </c:pt>
                <c:pt idx="5">
                  <c:v>13</c:v>
                </c:pt>
                <c:pt idx="6">
                  <c:v>121</c:v>
                </c:pt>
                <c:pt idx="7">
                  <c:v>52</c:v>
                </c:pt>
                <c:pt idx="8">
                  <c:v>65</c:v>
                </c:pt>
                <c:pt idx="9">
                  <c:v>55</c:v>
                </c:pt>
                <c:pt idx="10">
                  <c:v>101</c:v>
                </c:pt>
                <c:pt idx="11">
                  <c:v>1</c:v>
                </c:pt>
                <c:pt idx="12">
                  <c:v>6</c:v>
                </c:pt>
                <c:pt idx="13">
                  <c:v>62</c:v>
                </c:pt>
                <c:pt idx="1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C-4C51-839F-1EEE99BF78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17</xdr:row>
      <xdr:rowOff>133350</xdr:rowOff>
    </xdr:from>
    <xdr:to>
      <xdr:col>15</xdr:col>
      <xdr:colOff>28575</xdr:colOff>
      <xdr:row>43</xdr:row>
      <xdr:rowOff>161926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3177B-FBE9-1B43-B326-F567E14FC7D8}">
  <sheetPr>
    <tabColor rgb="FF7030A0"/>
  </sheetPr>
  <dimension ref="A1:T108"/>
  <sheetViews>
    <sheetView tabSelected="1" workbookViewId="0">
      <pane xSplit="5" ySplit="2" topLeftCell="L3" activePane="bottomRight" state="frozen"/>
      <selection pane="topRight" activeCell="F1" sqref="F1"/>
      <selection pane="bottomLeft" activeCell="A3" sqref="A3"/>
      <selection pane="bottomRight" activeCell="O7" sqref="O7"/>
    </sheetView>
  </sheetViews>
  <sheetFormatPr defaultColWidth="8.7109375" defaultRowHeight="15" x14ac:dyDescent="0.25"/>
  <cols>
    <col min="1" max="1" width="27.28515625" bestFit="1" customWidth="1"/>
    <col min="2" max="5" width="11.7109375" hidden="1" customWidth="1"/>
    <col min="6" max="6" width="9.28515625" customWidth="1"/>
    <col min="7" max="7" width="7.7109375" customWidth="1"/>
    <col min="8" max="8" width="9" customWidth="1"/>
    <col min="9" max="9" width="13.42578125" customWidth="1"/>
    <col min="10" max="10" width="12" style="122" bestFit="1" customWidth="1"/>
    <col min="11" max="14" width="13.7109375" customWidth="1"/>
    <col min="15" max="15" width="28" bestFit="1" customWidth="1"/>
    <col min="16" max="17" width="13.7109375" customWidth="1"/>
    <col min="18" max="18" width="28.5703125" bestFit="1" customWidth="1"/>
    <col min="19" max="20" width="12.42578125" bestFit="1" customWidth="1"/>
  </cols>
  <sheetData>
    <row r="1" spans="1:20" ht="15.75" x14ac:dyDescent="0.25">
      <c r="A1" s="99" t="s">
        <v>672</v>
      </c>
      <c r="B1" s="142"/>
      <c r="C1" s="143"/>
      <c r="D1" s="143"/>
      <c r="E1" s="212"/>
      <c r="F1" s="213"/>
      <c r="G1" s="224"/>
      <c r="H1" s="224"/>
      <c r="I1" s="224"/>
      <c r="J1" s="278"/>
      <c r="K1" s="99" t="s">
        <v>552</v>
      </c>
      <c r="L1" s="99" t="s">
        <v>552</v>
      </c>
      <c r="M1" s="287" t="s">
        <v>552</v>
      </c>
      <c r="N1" s="99" t="s">
        <v>552</v>
      </c>
      <c r="O1" s="99" t="s">
        <v>678</v>
      </c>
      <c r="P1" s="99" t="s">
        <v>552</v>
      </c>
      <c r="Q1" s="99" t="s">
        <v>609</v>
      </c>
      <c r="R1" s="99" t="s">
        <v>680</v>
      </c>
      <c r="S1" s="99" t="s">
        <v>609</v>
      </c>
      <c r="T1" s="99" t="s">
        <v>609</v>
      </c>
    </row>
    <row r="2" spans="1:20" ht="15.75" x14ac:dyDescent="0.25">
      <c r="A2" s="99" t="s">
        <v>2</v>
      </c>
      <c r="B2" s="144" t="s">
        <v>17</v>
      </c>
      <c r="C2" s="144" t="s">
        <v>216</v>
      </c>
      <c r="D2" s="144" t="s">
        <v>333</v>
      </c>
      <c r="E2" s="144" t="s">
        <v>333</v>
      </c>
      <c r="F2" s="214" t="s">
        <v>529</v>
      </c>
      <c r="G2" s="225" t="s">
        <v>575</v>
      </c>
      <c r="H2" s="225" t="s">
        <v>608</v>
      </c>
      <c r="I2" s="225" t="s">
        <v>673</v>
      </c>
      <c r="J2" s="279"/>
      <c r="K2" s="286">
        <v>43413</v>
      </c>
      <c r="L2" s="286">
        <f>K2+14</f>
        <v>43427</v>
      </c>
      <c r="M2" s="288">
        <f>L2+14</f>
        <v>43441</v>
      </c>
      <c r="N2" s="286">
        <v>43448</v>
      </c>
      <c r="O2" s="286">
        <v>43452</v>
      </c>
      <c r="P2" s="286">
        <v>43497</v>
      </c>
      <c r="Q2" s="286">
        <v>43507</v>
      </c>
      <c r="R2" s="286">
        <v>43514</v>
      </c>
      <c r="S2" s="286">
        <v>43521</v>
      </c>
      <c r="T2" s="286">
        <v>43542</v>
      </c>
    </row>
    <row r="3" spans="1:20" x14ac:dyDescent="0.25">
      <c r="A3" s="12" t="s">
        <v>15</v>
      </c>
      <c r="B3" s="38">
        <v>40664</v>
      </c>
      <c r="C3" s="38">
        <v>41061</v>
      </c>
      <c r="D3" s="161">
        <v>41426</v>
      </c>
      <c r="E3" s="161">
        <v>41791</v>
      </c>
      <c r="F3" s="161">
        <v>42186</v>
      </c>
      <c r="G3" s="161"/>
      <c r="H3" s="161"/>
      <c r="I3" s="161"/>
      <c r="J3" s="280"/>
      <c r="K3" s="192"/>
      <c r="L3" s="192"/>
      <c r="M3" s="192"/>
      <c r="N3" s="12"/>
      <c r="O3" s="12"/>
      <c r="P3" s="12"/>
      <c r="Q3" s="12"/>
      <c r="R3" s="12"/>
      <c r="S3" s="12"/>
      <c r="T3" s="12"/>
    </row>
    <row r="4" spans="1:20" x14ac:dyDescent="0.25">
      <c r="A4" s="3" t="s">
        <v>16</v>
      </c>
      <c r="B4" s="40">
        <v>549</v>
      </c>
      <c r="C4" s="40">
        <v>496</v>
      </c>
      <c r="D4" s="162">
        <v>439</v>
      </c>
      <c r="E4" s="162">
        <v>444</v>
      </c>
      <c r="F4" s="14">
        <v>391</v>
      </c>
      <c r="G4" s="193">
        <v>373</v>
      </c>
      <c r="H4" s="193">
        <v>434</v>
      </c>
      <c r="I4" s="193">
        <v>446</v>
      </c>
      <c r="J4" s="277"/>
      <c r="K4" s="193">
        <v>9</v>
      </c>
      <c r="L4" s="193">
        <v>31</v>
      </c>
      <c r="M4" s="193">
        <v>55</v>
      </c>
      <c r="N4" s="14">
        <v>136</v>
      </c>
      <c r="O4" s="14">
        <v>356</v>
      </c>
      <c r="P4" s="14">
        <v>363</v>
      </c>
      <c r="Q4" s="14">
        <v>363</v>
      </c>
      <c r="R4" s="14">
        <v>363</v>
      </c>
      <c r="S4" s="14">
        <v>363</v>
      </c>
      <c r="T4" s="14">
        <v>363</v>
      </c>
    </row>
    <row r="5" spans="1:20" x14ac:dyDescent="0.25">
      <c r="A5" s="3" t="s">
        <v>532</v>
      </c>
      <c r="B5" s="40"/>
      <c r="C5" s="40"/>
      <c r="D5" s="162"/>
      <c r="E5" s="162">
        <v>174</v>
      </c>
      <c r="F5" s="14">
        <v>174</v>
      </c>
      <c r="G5" s="193">
        <v>97</v>
      </c>
      <c r="H5" s="193">
        <v>103</v>
      </c>
      <c r="I5" s="193">
        <v>93</v>
      </c>
      <c r="J5" s="277"/>
      <c r="K5" s="277"/>
      <c r="L5" s="277"/>
      <c r="M5" s="277"/>
      <c r="N5" s="289"/>
      <c r="O5" s="289"/>
      <c r="P5" s="289"/>
      <c r="Q5" s="289"/>
      <c r="R5" s="289"/>
      <c r="S5" s="289"/>
      <c r="T5" s="289"/>
    </row>
    <row r="6" spans="1:20" x14ac:dyDescent="0.25">
      <c r="A6" s="3" t="s">
        <v>25</v>
      </c>
      <c r="B6" s="40">
        <v>358</v>
      </c>
      <c r="C6" s="40">
        <v>359</v>
      </c>
      <c r="D6" s="162">
        <v>373</v>
      </c>
      <c r="E6" s="162"/>
      <c r="F6" s="14"/>
      <c r="G6" s="193"/>
      <c r="H6" s="193" t="s">
        <v>584</v>
      </c>
      <c r="I6" t="s">
        <v>610</v>
      </c>
      <c r="N6" s="14"/>
      <c r="O6" s="14"/>
      <c r="P6" s="14">
        <v>340</v>
      </c>
      <c r="Q6" s="14">
        <v>340</v>
      </c>
      <c r="R6" s="14">
        <v>340</v>
      </c>
      <c r="S6" s="14">
        <v>340</v>
      </c>
      <c r="T6" s="14">
        <v>340</v>
      </c>
    </row>
    <row r="7" spans="1:20" x14ac:dyDescent="0.25">
      <c r="A7" s="1" t="s">
        <v>3</v>
      </c>
      <c r="B7" s="39">
        <v>801</v>
      </c>
      <c r="C7" s="39"/>
      <c r="D7" s="163"/>
      <c r="E7" s="163"/>
      <c r="F7" s="2"/>
      <c r="G7" s="165"/>
      <c r="H7" s="165"/>
      <c r="I7" s="165"/>
      <c r="J7" s="275"/>
      <c r="K7" s="229"/>
      <c r="L7" s="229"/>
      <c r="M7" s="229"/>
      <c r="N7" s="290"/>
      <c r="O7" s="127" t="s">
        <v>679</v>
      </c>
      <c r="P7" s="290"/>
      <c r="Q7" s="290"/>
      <c r="R7" s="290"/>
      <c r="S7" s="290"/>
      <c r="T7" s="290"/>
    </row>
    <row r="8" spans="1:20" x14ac:dyDescent="0.25">
      <c r="A8" s="3" t="s">
        <v>533</v>
      </c>
      <c r="B8" s="40">
        <v>937</v>
      </c>
      <c r="C8" s="40">
        <v>989</v>
      </c>
      <c r="D8" s="162">
        <v>827</v>
      </c>
      <c r="E8" s="162">
        <v>861</v>
      </c>
      <c r="F8" s="4">
        <f>639+137+51+45</f>
        <v>872</v>
      </c>
      <c r="G8" s="169">
        <v>890</v>
      </c>
      <c r="H8" s="169">
        <v>866</v>
      </c>
      <c r="I8" s="169">
        <v>866</v>
      </c>
      <c r="J8" s="275"/>
      <c r="K8" s="169">
        <v>0</v>
      </c>
      <c r="L8" s="169">
        <v>1</v>
      </c>
      <c r="M8" s="169">
        <v>2</v>
      </c>
      <c r="N8" s="4">
        <v>2</v>
      </c>
      <c r="O8" s="97"/>
      <c r="P8" s="4">
        <v>33</v>
      </c>
      <c r="Q8" s="4">
        <v>40</v>
      </c>
      <c r="R8" s="4">
        <v>259</v>
      </c>
      <c r="S8" s="4">
        <v>303</v>
      </c>
      <c r="T8" s="4">
        <v>342</v>
      </c>
    </row>
    <row r="9" spans="1:20" x14ac:dyDescent="0.25">
      <c r="A9" s="3" t="s">
        <v>534</v>
      </c>
      <c r="B9" s="40"/>
      <c r="C9" s="40"/>
      <c r="D9" s="162"/>
      <c r="E9" s="162"/>
      <c r="F9" s="4"/>
      <c r="G9" s="169">
        <v>170</v>
      </c>
      <c r="H9" s="169">
        <v>165</v>
      </c>
      <c r="I9" s="169">
        <v>120</v>
      </c>
      <c r="J9" s="275"/>
      <c r="K9" s="275"/>
      <c r="L9" s="275"/>
      <c r="M9" s="275"/>
      <c r="N9" s="291"/>
      <c r="O9" s="118"/>
      <c r="P9" s="291"/>
      <c r="Q9" s="291"/>
      <c r="R9" s="291"/>
      <c r="S9" s="291"/>
      <c r="T9" s="291"/>
    </row>
    <row r="10" spans="1:20" x14ac:dyDescent="0.25">
      <c r="A10" s="3" t="s">
        <v>142</v>
      </c>
      <c r="B10" s="40"/>
      <c r="C10" s="40">
        <v>105</v>
      </c>
      <c r="D10" s="162">
        <v>176</v>
      </c>
      <c r="E10" s="162"/>
      <c r="F10" s="4"/>
      <c r="G10" s="169"/>
      <c r="H10" s="169"/>
      <c r="I10" s="169"/>
      <c r="J10" s="275"/>
      <c r="K10" s="169"/>
      <c r="L10" s="169"/>
      <c r="M10" s="169"/>
      <c r="N10" s="4"/>
      <c r="O10" s="118"/>
      <c r="P10" s="4"/>
      <c r="Q10" s="4"/>
      <c r="R10" s="4"/>
      <c r="S10" s="4"/>
      <c r="T10" s="4"/>
    </row>
    <row r="11" spans="1:20" x14ac:dyDescent="0.25">
      <c r="A11" s="3" t="s">
        <v>161</v>
      </c>
      <c r="B11" s="40">
        <v>938</v>
      </c>
      <c r="C11" s="40">
        <v>861</v>
      </c>
      <c r="D11" s="162">
        <v>814</v>
      </c>
      <c r="E11" s="162">
        <v>531</v>
      </c>
      <c r="F11" s="4">
        <v>471</v>
      </c>
      <c r="G11" s="169">
        <v>518</v>
      </c>
      <c r="H11" s="169">
        <v>630</v>
      </c>
      <c r="I11" s="169">
        <v>630</v>
      </c>
      <c r="J11" s="275"/>
      <c r="K11" s="169">
        <v>9</v>
      </c>
      <c r="L11" s="169">
        <v>10</v>
      </c>
      <c r="M11" s="169">
        <v>12</v>
      </c>
      <c r="N11" s="4">
        <v>14</v>
      </c>
      <c r="O11" s="118"/>
      <c r="P11" s="4">
        <v>47</v>
      </c>
      <c r="Q11" s="4">
        <v>56</v>
      </c>
      <c r="R11" s="4">
        <v>79</v>
      </c>
      <c r="S11" s="4">
        <v>79</v>
      </c>
      <c r="T11" s="4">
        <v>96</v>
      </c>
    </row>
    <row r="12" spans="1:20" x14ac:dyDescent="0.25">
      <c r="A12" s="3" t="s">
        <v>5</v>
      </c>
      <c r="B12" s="40"/>
      <c r="C12" s="40">
        <v>284</v>
      </c>
      <c r="D12" s="162">
        <v>226</v>
      </c>
      <c r="E12" s="162">
        <v>169</v>
      </c>
      <c r="F12" s="4">
        <v>218</v>
      </c>
      <c r="G12" s="169">
        <v>172</v>
      </c>
      <c r="H12" s="169">
        <v>212</v>
      </c>
      <c r="I12" s="169">
        <v>212</v>
      </c>
      <c r="J12" s="275"/>
      <c r="K12" s="169"/>
      <c r="L12" s="169"/>
      <c r="M12" s="169"/>
      <c r="N12" s="4"/>
      <c r="O12" s="118"/>
      <c r="P12" s="4"/>
      <c r="Q12" s="4"/>
      <c r="R12" s="4"/>
      <c r="S12" s="4"/>
      <c r="T12" s="4"/>
    </row>
    <row r="13" spans="1:20" x14ac:dyDescent="0.25">
      <c r="A13" s="3" t="s">
        <v>307</v>
      </c>
      <c r="B13" s="40"/>
      <c r="C13" s="40"/>
      <c r="D13" s="162">
        <v>35</v>
      </c>
      <c r="E13" s="162">
        <v>23</v>
      </c>
      <c r="F13" s="4">
        <v>44</v>
      </c>
      <c r="G13" s="169">
        <v>24</v>
      </c>
      <c r="H13" s="169">
        <v>18</v>
      </c>
      <c r="I13" s="169">
        <v>18</v>
      </c>
      <c r="J13" s="275"/>
      <c r="K13" s="169"/>
      <c r="L13" s="169"/>
      <c r="M13" s="169"/>
      <c r="N13" s="4"/>
      <c r="O13" s="118"/>
      <c r="P13" s="4"/>
      <c r="Q13" s="4"/>
      <c r="R13" s="4"/>
      <c r="S13" s="4"/>
      <c r="T13" s="4"/>
    </row>
    <row r="14" spans="1:20" x14ac:dyDescent="0.25">
      <c r="A14" s="3" t="s">
        <v>479</v>
      </c>
      <c r="B14" s="40"/>
      <c r="C14" s="40"/>
      <c r="D14" s="162">
        <v>27</v>
      </c>
      <c r="E14" s="162">
        <v>56</v>
      </c>
      <c r="F14" s="4">
        <f>26+17</f>
        <v>43</v>
      </c>
      <c r="G14" s="169">
        <v>52</v>
      </c>
      <c r="H14" s="169">
        <v>47</v>
      </c>
      <c r="I14" s="169">
        <v>47</v>
      </c>
      <c r="J14" s="275"/>
      <c r="K14" s="169"/>
      <c r="L14" s="169"/>
      <c r="M14" s="169"/>
      <c r="N14" s="4"/>
      <c r="O14" s="118"/>
      <c r="P14" s="4"/>
      <c r="Q14" s="4"/>
      <c r="R14" s="4"/>
      <c r="S14" s="4"/>
      <c r="T14" s="4"/>
    </row>
    <row r="15" spans="1:20" x14ac:dyDescent="0.25">
      <c r="A15" s="3" t="s">
        <v>321</v>
      </c>
      <c r="B15" s="40"/>
      <c r="C15" s="40">
        <f>13+6</f>
        <v>19</v>
      </c>
      <c r="D15" s="162">
        <v>39</v>
      </c>
      <c r="E15" s="162">
        <v>40</v>
      </c>
      <c r="F15" s="4">
        <v>12</v>
      </c>
      <c r="G15" s="169">
        <v>7</v>
      </c>
      <c r="H15" s="169">
        <v>29</v>
      </c>
      <c r="I15" s="169">
        <v>29</v>
      </c>
      <c r="J15" s="275"/>
      <c r="K15" s="169"/>
      <c r="L15" s="169"/>
      <c r="M15" s="169"/>
      <c r="N15" s="4"/>
      <c r="O15" s="118"/>
      <c r="P15" s="4"/>
      <c r="Q15" s="4"/>
      <c r="R15" s="4"/>
      <c r="S15" s="4"/>
      <c r="T15" s="4"/>
    </row>
    <row r="16" spans="1:20" x14ac:dyDescent="0.25">
      <c r="A16" s="3" t="s">
        <v>162</v>
      </c>
      <c r="B16" s="40"/>
      <c r="C16" s="40">
        <v>693</v>
      </c>
      <c r="D16" s="162">
        <v>885</v>
      </c>
      <c r="E16" s="162">
        <v>821</v>
      </c>
      <c r="F16" s="4">
        <v>809</v>
      </c>
      <c r="G16" s="169">
        <v>847</v>
      </c>
      <c r="H16" s="169">
        <v>1027</v>
      </c>
      <c r="I16" s="169">
        <v>1027</v>
      </c>
      <c r="J16" s="275"/>
      <c r="K16" s="169"/>
      <c r="L16" s="169"/>
      <c r="M16" s="169"/>
      <c r="N16" s="4"/>
      <c r="O16" s="118"/>
      <c r="P16" s="4"/>
      <c r="Q16" s="4"/>
      <c r="R16" s="4"/>
      <c r="S16" s="4"/>
      <c r="T16" s="4"/>
    </row>
    <row r="17" spans="1:20" x14ac:dyDescent="0.25">
      <c r="A17" s="3" t="s">
        <v>313</v>
      </c>
      <c r="B17" s="40"/>
      <c r="C17" s="40"/>
      <c r="D17" s="162">
        <v>156</v>
      </c>
      <c r="E17" s="162">
        <v>98</v>
      </c>
      <c r="F17" s="4"/>
      <c r="G17" s="169">
        <v>85</v>
      </c>
      <c r="H17" s="169">
        <v>452</v>
      </c>
      <c r="I17" s="169">
        <v>452</v>
      </c>
      <c r="J17" s="275"/>
      <c r="K17" s="169"/>
      <c r="L17" s="169"/>
      <c r="M17" s="169"/>
      <c r="N17" s="4"/>
      <c r="O17" s="118"/>
      <c r="P17" s="4"/>
      <c r="Q17" s="4"/>
      <c r="R17" s="4"/>
      <c r="S17" s="4"/>
      <c r="T17" s="4"/>
    </row>
    <row r="18" spans="1:20" x14ac:dyDescent="0.25">
      <c r="A18" s="1" t="s">
        <v>217</v>
      </c>
      <c r="B18" s="41">
        <f>SUM(B8:B15)</f>
        <v>1875</v>
      </c>
      <c r="C18" s="41">
        <f>SUM(C8:C17)</f>
        <v>2951</v>
      </c>
      <c r="D18" s="164">
        <f>SUM(D8:D17)</f>
        <v>3185</v>
      </c>
      <c r="E18" s="164">
        <f>SUM(E8:E17)</f>
        <v>2599</v>
      </c>
      <c r="F18" s="5">
        <f>SUM(F8:F16)</f>
        <v>2469</v>
      </c>
      <c r="G18" s="5">
        <f>SUM(G8:G16)</f>
        <v>2680</v>
      </c>
      <c r="H18" s="5">
        <f>SUM(H8:H16)</f>
        <v>2994</v>
      </c>
      <c r="I18" s="5">
        <f>SUM(I8:I16)</f>
        <v>2949</v>
      </c>
      <c r="J18" s="281"/>
      <c r="K18" s="194">
        <f t="shared" ref="K18:L18" si="0">SUM(K8:K15)</f>
        <v>9</v>
      </c>
      <c r="L18" s="194">
        <f t="shared" si="0"/>
        <v>11</v>
      </c>
      <c r="M18" s="194">
        <f t="shared" ref="M18:N18" si="1">SUM(M8:M15)</f>
        <v>14</v>
      </c>
      <c r="N18" s="194">
        <f t="shared" si="1"/>
        <v>16</v>
      </c>
      <c r="O18" s="118"/>
      <c r="P18" s="194">
        <f t="shared" ref="P18:Q18" si="2">SUM(P8:P15)</f>
        <v>80</v>
      </c>
      <c r="Q18" s="194">
        <f t="shared" si="2"/>
        <v>96</v>
      </c>
      <c r="R18" s="194">
        <f t="shared" ref="R18:S18" si="3">SUM(R8:R15)</f>
        <v>338</v>
      </c>
      <c r="S18" s="194">
        <f t="shared" si="3"/>
        <v>382</v>
      </c>
      <c r="T18" s="194">
        <f t="shared" ref="T18" si="4">SUM(T8:T15)</f>
        <v>438</v>
      </c>
    </row>
    <row r="19" spans="1:20" x14ac:dyDescent="0.25">
      <c r="A19" s="6"/>
      <c r="B19" s="40"/>
      <c r="C19" s="97"/>
      <c r="D19" s="97"/>
      <c r="E19" s="97"/>
      <c r="F19" s="4"/>
      <c r="G19" s="169"/>
      <c r="H19" s="169"/>
      <c r="I19" s="169"/>
      <c r="J19" s="275"/>
      <c r="K19" s="169"/>
      <c r="L19" s="169"/>
      <c r="M19" s="169"/>
      <c r="N19" s="4"/>
      <c r="O19" s="118"/>
      <c r="P19" s="4"/>
      <c r="Q19" s="4"/>
      <c r="R19" s="4"/>
      <c r="S19" s="4"/>
      <c r="T19" s="4"/>
    </row>
    <row r="20" spans="1:20" x14ac:dyDescent="0.25">
      <c r="A20" s="1" t="s">
        <v>8</v>
      </c>
      <c r="B20" s="2"/>
      <c r="C20" s="2"/>
      <c r="D20" s="165"/>
      <c r="E20" s="165"/>
      <c r="F20" s="2"/>
      <c r="G20" s="165"/>
      <c r="H20" s="165"/>
      <c r="I20" s="165"/>
      <c r="J20" s="275"/>
      <c r="K20" s="165"/>
      <c r="L20" s="165"/>
      <c r="M20" s="165"/>
      <c r="N20" s="2"/>
      <c r="O20" s="118"/>
      <c r="P20" s="2"/>
      <c r="Q20" s="2"/>
      <c r="R20" s="2"/>
      <c r="S20" s="2"/>
      <c r="T20" s="2"/>
    </row>
    <row r="21" spans="1:20" x14ac:dyDescent="0.25">
      <c r="A21" s="54" t="s">
        <v>536</v>
      </c>
      <c r="B21" s="42" t="s">
        <v>218</v>
      </c>
      <c r="C21" s="53">
        <f>167086</f>
        <v>167086</v>
      </c>
      <c r="D21" s="166"/>
      <c r="E21" s="166">
        <v>182937.25</v>
      </c>
      <c r="F21" s="53">
        <f>208533.9/1.2</f>
        <v>173778.25</v>
      </c>
      <c r="G21" s="166">
        <v>165483</v>
      </c>
      <c r="H21" s="166">
        <f>220993.6/1.2</f>
        <v>184161.33333333334</v>
      </c>
      <c r="I21" s="166">
        <v>164657.5</v>
      </c>
      <c r="J21" s="276"/>
      <c r="K21" s="166"/>
      <c r="L21" s="166">
        <f>500/1.2</f>
        <v>416.66666666666669</v>
      </c>
      <c r="M21" s="166">
        <f>700/1.2</f>
        <v>583.33333333333337</v>
      </c>
      <c r="N21" s="53">
        <v>583.33000000000004</v>
      </c>
      <c r="O21" s="118"/>
      <c r="P21" s="53">
        <v>7104</v>
      </c>
      <c r="Q21" s="53">
        <v>8778</v>
      </c>
      <c r="R21" s="53">
        <v>46047</v>
      </c>
      <c r="S21" s="53">
        <v>53257</v>
      </c>
      <c r="T21" s="294">
        <v>63585</v>
      </c>
    </row>
    <row r="22" spans="1:20" x14ac:dyDescent="0.25">
      <c r="A22" s="54" t="s">
        <v>537</v>
      </c>
      <c r="B22" s="42"/>
      <c r="C22" s="53"/>
      <c r="D22" s="166"/>
      <c r="E22" s="166"/>
      <c r="F22" s="53"/>
      <c r="G22" s="166">
        <v>29416.58</v>
      </c>
      <c r="H22" s="166" t="s">
        <v>581</v>
      </c>
      <c r="I22" s="166" t="s">
        <v>581</v>
      </c>
      <c r="J22" s="276"/>
      <c r="K22" s="276"/>
      <c r="L22" s="276"/>
      <c r="M22" s="276"/>
      <c r="N22" s="292"/>
      <c r="O22" s="118"/>
      <c r="P22" s="292"/>
      <c r="Q22" s="292"/>
      <c r="R22" s="292"/>
      <c r="S22" s="292"/>
      <c r="T22" s="292"/>
    </row>
    <row r="23" spans="1:20" x14ac:dyDescent="0.25">
      <c r="A23" s="8" t="s">
        <v>677</v>
      </c>
      <c r="B23" s="42"/>
      <c r="C23" s="42">
        <v>10980</v>
      </c>
      <c r="D23" s="167"/>
      <c r="E23" s="167">
        <v>10330</v>
      </c>
      <c r="F23" s="9">
        <v>12355</v>
      </c>
      <c r="G23" s="195">
        <v>21375</v>
      </c>
      <c r="H23" s="195">
        <f>31990+1985</f>
        <v>33975</v>
      </c>
      <c r="I23" s="195">
        <v>60794</v>
      </c>
      <c r="J23" s="276"/>
      <c r="K23" s="195"/>
      <c r="L23" s="195">
        <v>43985</v>
      </c>
      <c r="M23" s="195">
        <v>43985</v>
      </c>
      <c r="N23" s="195">
        <v>46985</v>
      </c>
      <c r="O23" s="118"/>
      <c r="P23" s="195">
        <v>46985</v>
      </c>
      <c r="Q23" s="293">
        <v>46985</v>
      </c>
      <c r="R23" s="293">
        <v>46985</v>
      </c>
      <c r="S23" s="293">
        <v>50480</v>
      </c>
      <c r="T23" s="293">
        <v>51175</v>
      </c>
    </row>
    <row r="24" spans="1:20" x14ac:dyDescent="0.25">
      <c r="A24" s="8" t="s">
        <v>11</v>
      </c>
      <c r="B24" s="42">
        <v>478526</v>
      </c>
      <c r="C24" s="42">
        <v>490077</v>
      </c>
      <c r="D24" s="167"/>
      <c r="E24" s="167">
        <v>496920</v>
      </c>
      <c r="F24" s="9">
        <v>523710</v>
      </c>
      <c r="G24" s="195">
        <v>531204</v>
      </c>
      <c r="H24" s="195">
        <f>578892</f>
        <v>578892</v>
      </c>
      <c r="I24" s="195">
        <v>578704</v>
      </c>
      <c r="J24" s="276"/>
      <c r="K24" s="195"/>
      <c r="L24" s="195">
        <v>351739.68</v>
      </c>
      <c r="M24" s="195">
        <v>361609.68</v>
      </c>
      <c r="N24" s="195">
        <v>394741.36</v>
      </c>
      <c r="O24" s="118"/>
      <c r="P24" s="195">
        <v>445141</v>
      </c>
      <c r="Q24" s="293">
        <v>456736</v>
      </c>
      <c r="R24" s="293">
        <v>486496</v>
      </c>
      <c r="S24" s="293">
        <v>494496</v>
      </c>
      <c r="T24" s="293">
        <v>495462</v>
      </c>
    </row>
    <row r="25" spans="1:20" x14ac:dyDescent="0.25">
      <c r="A25" s="8" t="s">
        <v>548</v>
      </c>
      <c r="B25" s="42">
        <v>0</v>
      </c>
      <c r="C25" s="42">
        <v>18790</v>
      </c>
      <c r="D25" s="167"/>
      <c r="E25" s="167">
        <v>8630</v>
      </c>
      <c r="F25" s="9">
        <v>26970</v>
      </c>
      <c r="G25" s="195">
        <v>20335</v>
      </c>
      <c r="H25" s="195">
        <f>33877+5870+4170</f>
        <v>43917</v>
      </c>
      <c r="I25" s="195"/>
      <c r="J25" s="276"/>
      <c r="K25" s="195"/>
      <c r="L25" s="195">
        <v>9780</v>
      </c>
      <c r="M25" s="195">
        <v>9780</v>
      </c>
      <c r="N25" s="195">
        <v>31565</v>
      </c>
      <c r="O25" s="118"/>
      <c r="P25" s="195">
        <v>28565</v>
      </c>
      <c r="Q25" s="293">
        <v>29360</v>
      </c>
      <c r="R25" s="293">
        <v>29360</v>
      </c>
      <c r="S25" s="293">
        <v>30750</v>
      </c>
      <c r="T25" s="293">
        <v>32935</v>
      </c>
    </row>
    <row r="26" spans="1:20" x14ac:dyDescent="0.25">
      <c r="A26" s="215" t="s">
        <v>582</v>
      </c>
      <c r="B26" s="216"/>
      <c r="C26" s="216"/>
      <c r="D26" s="217"/>
      <c r="E26" s="217"/>
      <c r="F26" s="216"/>
      <c r="G26" s="217">
        <f>G21+G23+G24+G25</f>
        <v>738397</v>
      </c>
      <c r="H26" s="230">
        <f t="shared" ref="H26:K26" si="5">H23+H24+H25</f>
        <v>656784</v>
      </c>
      <c r="I26" s="230">
        <f>I23+I24+I25</f>
        <v>639498</v>
      </c>
      <c r="J26" s="282"/>
      <c r="K26" s="230">
        <f t="shared" si="5"/>
        <v>0</v>
      </c>
      <c r="L26" s="230">
        <f>L23+L24+L25</f>
        <v>405504.68</v>
      </c>
      <c r="M26" s="230">
        <f>M23+M24+M25</f>
        <v>415374.68</v>
      </c>
      <c r="N26" s="230">
        <f>N23+N24+N25</f>
        <v>473291.36</v>
      </c>
      <c r="O26" s="118"/>
      <c r="P26" s="230">
        <f>P23+P24+P25</f>
        <v>520691</v>
      </c>
      <c r="Q26" s="230">
        <f>Q23+Q24+Q25</f>
        <v>533081</v>
      </c>
      <c r="R26" s="230">
        <f>R23+R24+R25</f>
        <v>562841</v>
      </c>
      <c r="S26" s="230">
        <f>S23+S24+S25</f>
        <v>575726</v>
      </c>
      <c r="T26" s="230">
        <f>T23+T24+T25</f>
        <v>579572</v>
      </c>
    </row>
    <row r="27" spans="1:20" hidden="1" x14ac:dyDescent="0.25">
      <c r="A27" s="8" t="s">
        <v>539</v>
      </c>
      <c r="B27" s="42"/>
      <c r="C27" s="42"/>
      <c r="D27" s="167"/>
      <c r="E27" s="167"/>
      <c r="F27" s="9"/>
      <c r="G27" s="195">
        <v>63330</v>
      </c>
      <c r="H27" s="195"/>
      <c r="I27" s="195"/>
      <c r="J27" s="276"/>
      <c r="K27" s="195" t="s">
        <v>581</v>
      </c>
      <c r="L27" s="195" t="s">
        <v>581</v>
      </c>
      <c r="M27" s="195" t="s">
        <v>581</v>
      </c>
      <c r="N27" s="195" t="s">
        <v>581</v>
      </c>
      <c r="O27" s="118"/>
      <c r="P27" s="195" t="s">
        <v>581</v>
      </c>
      <c r="Q27" s="195" t="s">
        <v>581</v>
      </c>
      <c r="R27" s="195" t="s">
        <v>581</v>
      </c>
      <c r="S27" s="195" t="s">
        <v>581</v>
      </c>
      <c r="T27" s="195" t="s">
        <v>581</v>
      </c>
    </row>
    <row r="28" spans="1:20" hidden="1" x14ac:dyDescent="0.25">
      <c r="A28" s="8" t="s">
        <v>542</v>
      </c>
      <c r="B28" s="42"/>
      <c r="C28" s="42"/>
      <c r="D28" s="167"/>
      <c r="E28" s="167"/>
      <c r="F28" s="9"/>
      <c r="G28" s="195">
        <v>21000</v>
      </c>
      <c r="H28" s="195"/>
      <c r="I28" s="195"/>
      <c r="J28" s="276"/>
      <c r="K28" s="195"/>
      <c r="L28" s="195"/>
      <c r="M28" s="195"/>
      <c r="N28" s="195"/>
      <c r="O28" s="118"/>
      <c r="P28" s="195"/>
      <c r="Q28" s="195"/>
      <c r="R28" s="195"/>
      <c r="S28" s="195"/>
      <c r="T28" s="195"/>
    </row>
    <row r="29" spans="1:20" hidden="1" x14ac:dyDescent="0.25">
      <c r="A29" s="8" t="s">
        <v>544</v>
      </c>
      <c r="B29" s="42"/>
      <c r="C29" s="42"/>
      <c r="D29" s="167"/>
      <c r="E29" s="167"/>
      <c r="F29" s="9"/>
      <c r="G29" s="195">
        <v>2870</v>
      </c>
      <c r="H29" s="195"/>
      <c r="I29" s="195"/>
      <c r="J29" s="276"/>
      <c r="K29" s="195"/>
      <c r="L29" s="195"/>
      <c r="M29" s="195"/>
      <c r="N29" s="195"/>
      <c r="O29" s="118"/>
      <c r="P29" s="195"/>
      <c r="Q29" s="195"/>
      <c r="R29" s="195"/>
      <c r="S29" s="195"/>
      <c r="T29" s="195"/>
    </row>
    <row r="30" spans="1:20" hidden="1" x14ac:dyDescent="0.25">
      <c r="A30" s="215" t="s">
        <v>541</v>
      </c>
      <c r="B30" s="216"/>
      <c r="C30" s="216"/>
      <c r="D30" s="217"/>
      <c r="E30" s="217"/>
      <c r="F30" s="216"/>
      <c r="G30" s="217">
        <f>G22+G27+G28+G29</f>
        <v>116616.58</v>
      </c>
      <c r="H30" s="217"/>
      <c r="I30" s="217"/>
      <c r="J30" s="276"/>
      <c r="K30" s="217"/>
      <c r="L30" s="217"/>
      <c r="M30" s="217"/>
      <c r="N30" s="217"/>
      <c r="O30" s="118"/>
      <c r="P30" s="217"/>
      <c r="Q30" s="217"/>
      <c r="R30" s="217"/>
      <c r="S30" s="217"/>
      <c r="T30" s="217"/>
    </row>
    <row r="31" spans="1:20" x14ac:dyDescent="0.25">
      <c r="A31" s="1" t="s">
        <v>13</v>
      </c>
      <c r="B31" s="43">
        <f>SUM(B21:B25)</f>
        <v>478526</v>
      </c>
      <c r="C31" s="10">
        <f>SUM(C21:C25)</f>
        <v>686933</v>
      </c>
      <c r="D31" s="168"/>
      <c r="E31" s="10">
        <f>SUM(E21:E25)</f>
        <v>698817.25</v>
      </c>
      <c r="F31" s="10">
        <f>SUM(F21:F25)</f>
        <v>736813.25</v>
      </c>
      <c r="G31" s="168">
        <f t="shared" ref="G31" si="6">G26+G30</f>
        <v>855013.58</v>
      </c>
      <c r="H31" s="168">
        <v>656784</v>
      </c>
      <c r="I31" s="168">
        <v>656784</v>
      </c>
      <c r="J31" s="283"/>
      <c r="K31" s="168">
        <f t="shared" ref="K31:L31" si="7">SUM(K21:K25)</f>
        <v>0</v>
      </c>
      <c r="L31" s="168">
        <f t="shared" si="7"/>
        <v>405921.34666666668</v>
      </c>
      <c r="M31" s="168">
        <f t="shared" ref="M31" si="8">SUM(M21:M25)</f>
        <v>415958.01333333331</v>
      </c>
      <c r="N31" s="168">
        <f>SUM(N21:N25)</f>
        <v>473874.69</v>
      </c>
      <c r="O31" s="118"/>
      <c r="P31" s="168">
        <f>SUM(P21:P25)</f>
        <v>527795</v>
      </c>
      <c r="Q31" s="168">
        <f>SUM(Q21:Q25)</f>
        <v>541859</v>
      </c>
      <c r="R31" s="168">
        <f>SUM(R21:R25)</f>
        <v>608888</v>
      </c>
      <c r="S31" s="168">
        <f>SUM(S21:S25)</f>
        <v>628983</v>
      </c>
      <c r="T31" s="168">
        <f>SUM(T21:T25)</f>
        <v>643157</v>
      </c>
    </row>
    <row r="32" spans="1:20" x14ac:dyDescent="0.25">
      <c r="A32" s="6"/>
      <c r="B32" s="65"/>
      <c r="C32" s="98"/>
      <c r="D32" s="98"/>
      <c r="E32" s="98"/>
      <c r="F32" s="4"/>
      <c r="G32" s="169"/>
      <c r="H32" s="169"/>
      <c r="I32" s="169"/>
      <c r="J32" s="275"/>
      <c r="K32" s="169"/>
      <c r="L32" s="169"/>
      <c r="M32" s="169"/>
      <c r="N32" s="4"/>
      <c r="O32" s="118"/>
      <c r="P32" s="4"/>
      <c r="Q32" s="4"/>
      <c r="R32" s="4"/>
      <c r="S32" s="4"/>
      <c r="T32" s="4"/>
    </row>
    <row r="33" spans="1:20" x14ac:dyDescent="0.25">
      <c r="A33" s="1" t="s">
        <v>14</v>
      </c>
      <c r="B33" s="2"/>
      <c r="C33" s="2"/>
      <c r="D33" s="165"/>
      <c r="E33" s="165"/>
      <c r="F33" s="2"/>
      <c r="G33" s="165"/>
      <c r="H33" s="165"/>
      <c r="I33" s="165"/>
      <c r="J33" s="275"/>
      <c r="K33" s="165"/>
      <c r="L33" s="165"/>
      <c r="M33" s="165"/>
      <c r="N33" s="2"/>
      <c r="O33" s="118"/>
      <c r="P33" s="2"/>
      <c r="Q33" s="2"/>
      <c r="R33" s="2"/>
      <c r="S33" s="2"/>
      <c r="T33" s="2"/>
    </row>
    <row r="34" spans="1:20" x14ac:dyDescent="0.25">
      <c r="A34" s="3" t="s">
        <v>594</v>
      </c>
      <c r="B34" s="4">
        <v>0</v>
      </c>
      <c r="C34" s="4">
        <v>82</v>
      </c>
      <c r="D34" s="169">
        <v>81</v>
      </c>
      <c r="E34" s="169">
        <v>342</v>
      </c>
      <c r="F34" s="4"/>
      <c r="G34" s="169"/>
      <c r="H34" s="169">
        <f>38+2+4+6+1</f>
        <v>51</v>
      </c>
      <c r="I34" s="169">
        <f>38+2+4+6+1</f>
        <v>51</v>
      </c>
      <c r="J34" s="275"/>
      <c r="K34" s="169"/>
      <c r="L34" s="169"/>
      <c r="M34" s="169"/>
      <c r="N34" s="4"/>
      <c r="O34" s="118"/>
      <c r="P34" s="4"/>
      <c r="Q34" s="4"/>
      <c r="R34" s="4"/>
      <c r="S34" s="4"/>
      <c r="T34" s="4"/>
    </row>
    <row r="35" spans="1:20" x14ac:dyDescent="0.25">
      <c r="A35" s="3" t="s">
        <v>615</v>
      </c>
      <c r="B35" s="4">
        <v>0</v>
      </c>
      <c r="C35" s="4">
        <v>78</v>
      </c>
      <c r="D35" s="169">
        <v>94</v>
      </c>
      <c r="E35" s="169"/>
      <c r="F35" s="4"/>
      <c r="G35" s="169"/>
      <c r="H35" s="169">
        <f>45+1+33</f>
        <v>79</v>
      </c>
      <c r="I35" s="169">
        <f>45+1+33</f>
        <v>79</v>
      </c>
      <c r="J35" s="275"/>
      <c r="K35" s="169"/>
      <c r="L35" s="169"/>
      <c r="M35" s="169"/>
      <c r="N35" s="4"/>
      <c r="O35" s="118"/>
      <c r="P35" s="4"/>
      <c r="Q35" s="4"/>
      <c r="R35" s="4"/>
      <c r="S35" s="4"/>
      <c r="T35" s="4"/>
    </row>
    <row r="36" spans="1:20" x14ac:dyDescent="0.25">
      <c r="A36" s="6" t="s">
        <v>616</v>
      </c>
      <c r="B36" s="7"/>
      <c r="C36" s="7"/>
      <c r="D36" s="7"/>
      <c r="E36" s="7"/>
      <c r="F36" s="4"/>
      <c r="G36" s="169"/>
      <c r="H36" s="169">
        <f>26+50+22+1</f>
        <v>99</v>
      </c>
      <c r="I36" s="169">
        <f>26+50+22+1</f>
        <v>99</v>
      </c>
      <c r="J36" s="275"/>
      <c r="K36" s="169"/>
      <c r="L36" s="169"/>
      <c r="M36" s="169"/>
      <c r="N36" s="4"/>
      <c r="O36" s="118"/>
      <c r="P36" s="4"/>
      <c r="Q36" s="4"/>
      <c r="R36" s="4"/>
      <c r="S36" s="4"/>
      <c r="T36" s="4"/>
    </row>
    <row r="37" spans="1:20" x14ac:dyDescent="0.25">
      <c r="A37" s="11" t="s">
        <v>642</v>
      </c>
      <c r="B37" s="7"/>
      <c r="C37" s="7"/>
      <c r="D37" s="7"/>
      <c r="E37" s="7"/>
      <c r="F37" s="14"/>
      <c r="G37" s="193"/>
      <c r="H37" s="193"/>
      <c r="I37" s="193"/>
      <c r="J37" s="277"/>
      <c r="K37" s="193"/>
      <c r="L37" s="193"/>
      <c r="M37" s="193"/>
      <c r="N37" s="14"/>
      <c r="O37" s="118"/>
      <c r="P37" s="14"/>
      <c r="Q37" s="14"/>
      <c r="R37" s="14"/>
      <c r="S37" s="14"/>
      <c r="T37" s="14"/>
    </row>
    <row r="38" spans="1:20" x14ac:dyDescent="0.25">
      <c r="A38" s="11" t="s">
        <v>668</v>
      </c>
      <c r="B38" s="7"/>
      <c r="C38" s="7"/>
      <c r="D38" s="7"/>
      <c r="E38" s="7"/>
      <c r="F38" s="14"/>
      <c r="G38" s="193"/>
      <c r="H38" s="193"/>
      <c r="I38" s="193"/>
      <c r="J38" s="277"/>
      <c r="K38" s="193"/>
      <c r="L38" s="193"/>
      <c r="M38" s="193"/>
      <c r="N38" s="14"/>
      <c r="O38" s="118"/>
      <c r="P38" s="14"/>
      <c r="Q38" s="14"/>
      <c r="R38" s="14"/>
      <c r="S38" s="14"/>
      <c r="T38" s="14"/>
    </row>
    <row r="39" spans="1:20" x14ac:dyDescent="0.25">
      <c r="A39" s="11" t="s">
        <v>669</v>
      </c>
      <c r="B39" s="7"/>
      <c r="C39" s="7"/>
      <c r="D39" s="7"/>
      <c r="E39" s="7"/>
      <c r="F39" s="14"/>
      <c r="G39" s="193"/>
      <c r="H39" s="193"/>
      <c r="I39" s="193"/>
      <c r="J39" s="277"/>
      <c r="K39" s="193"/>
      <c r="L39" s="193"/>
      <c r="M39" s="193"/>
      <c r="N39" s="14"/>
      <c r="O39" s="118"/>
      <c r="P39" s="14"/>
      <c r="Q39" s="14"/>
      <c r="R39" s="14"/>
      <c r="S39" s="14"/>
      <c r="T39" s="14"/>
    </row>
    <row r="40" spans="1:20" x14ac:dyDescent="0.25">
      <c r="A40" s="12" t="s">
        <v>21</v>
      </c>
      <c r="B40" s="2"/>
      <c r="C40" s="2"/>
      <c r="D40" s="165"/>
      <c r="E40" s="165"/>
      <c r="F40" s="13"/>
      <c r="G40" s="196"/>
      <c r="H40" s="196"/>
      <c r="I40" s="196"/>
      <c r="J40" s="277"/>
      <c r="K40" s="196"/>
      <c r="L40" s="196"/>
      <c r="M40" s="196"/>
      <c r="N40" s="13"/>
      <c r="O40" s="118"/>
      <c r="P40" s="13"/>
      <c r="Q40" s="13"/>
      <c r="R40" s="13"/>
      <c r="S40" s="13"/>
      <c r="T40" s="13"/>
    </row>
    <row r="41" spans="1:20" x14ac:dyDescent="0.25">
      <c r="A41" s="3" t="s">
        <v>22</v>
      </c>
      <c r="B41" s="4"/>
      <c r="C41" s="4">
        <v>85</v>
      </c>
      <c r="D41" s="169">
        <v>30</v>
      </c>
      <c r="E41" s="169">
        <v>76</v>
      </c>
      <c r="F41" s="4">
        <f>57+6</f>
        <v>63</v>
      </c>
      <c r="G41" s="169">
        <v>49</v>
      </c>
      <c r="H41" s="193">
        <v>79</v>
      </c>
      <c r="I41" s="193">
        <v>79</v>
      </c>
      <c r="J41" s="277"/>
      <c r="K41" s="193"/>
      <c r="L41" s="193"/>
      <c r="M41" s="193"/>
      <c r="N41" s="14"/>
      <c r="O41" s="118"/>
      <c r="P41" s="14"/>
      <c r="Q41" s="14"/>
      <c r="R41" s="14"/>
      <c r="S41" s="14"/>
      <c r="T41" s="14"/>
    </row>
    <row r="42" spans="1:20" x14ac:dyDescent="0.25">
      <c r="A42" s="3" t="s">
        <v>308</v>
      </c>
      <c r="B42" s="4"/>
      <c r="C42" s="4">
        <v>388</v>
      </c>
      <c r="D42" s="169">
        <v>196</v>
      </c>
      <c r="E42" s="169">
        <v>370</v>
      </c>
      <c r="F42" s="4">
        <f>245+159</f>
        <v>404</v>
      </c>
      <c r="G42" s="169">
        <v>274</v>
      </c>
      <c r="H42" s="193">
        <v>477</v>
      </c>
      <c r="I42" s="193">
        <v>477</v>
      </c>
      <c r="J42" s="277"/>
      <c r="K42" s="193"/>
      <c r="L42" s="193"/>
      <c r="M42" s="193"/>
      <c r="N42" s="14"/>
      <c r="O42" s="118"/>
      <c r="P42" s="14"/>
      <c r="Q42" s="14"/>
      <c r="R42" s="14"/>
      <c r="S42" s="14"/>
      <c r="T42" s="14"/>
    </row>
    <row r="43" spans="1:20" x14ac:dyDescent="0.25">
      <c r="A43" s="3" t="s">
        <v>23</v>
      </c>
      <c r="B43" s="4"/>
      <c r="C43" s="4">
        <v>46</v>
      </c>
      <c r="D43" s="169">
        <v>15</v>
      </c>
      <c r="E43" s="169">
        <v>29</v>
      </c>
      <c r="F43" s="14">
        <f>15+13</f>
        <v>28</v>
      </c>
      <c r="G43" s="193">
        <v>31</v>
      </c>
      <c r="H43" s="193">
        <v>43</v>
      </c>
      <c r="I43" s="193">
        <v>43</v>
      </c>
      <c r="J43" s="277"/>
      <c r="K43" s="193"/>
      <c r="L43" s="193"/>
      <c r="M43" s="193"/>
      <c r="N43" s="14"/>
      <c r="O43" s="118"/>
      <c r="P43" s="14"/>
      <c r="Q43" s="14"/>
      <c r="R43" s="14"/>
      <c r="S43" s="14"/>
      <c r="T43" s="14"/>
    </row>
    <row r="44" spans="1:20" x14ac:dyDescent="0.25">
      <c r="A44" s="3" t="s">
        <v>219</v>
      </c>
      <c r="B44" s="4"/>
      <c r="C44" s="4"/>
      <c r="D44" s="169">
        <v>88</v>
      </c>
      <c r="E44" s="169">
        <v>224</v>
      </c>
      <c r="F44" s="204">
        <f>242+24</f>
        <v>266</v>
      </c>
      <c r="G44" s="226">
        <v>220</v>
      </c>
      <c r="H44" s="193">
        <v>236</v>
      </c>
      <c r="I44" s="193">
        <v>236</v>
      </c>
      <c r="J44" s="277"/>
      <c r="K44" s="193"/>
      <c r="L44" s="193"/>
      <c r="M44" s="193"/>
      <c r="N44" s="14"/>
      <c r="O44" s="118"/>
      <c r="P44" s="14"/>
      <c r="Q44" s="14"/>
      <c r="R44" s="14"/>
      <c r="S44" s="14"/>
      <c r="T44" s="14"/>
    </row>
    <row r="45" spans="1:20" x14ac:dyDescent="0.25">
      <c r="A45" s="3" t="s">
        <v>468</v>
      </c>
      <c r="B45" s="4"/>
      <c r="C45" s="4">
        <v>717</v>
      </c>
      <c r="D45" s="169"/>
      <c r="E45" s="169">
        <v>699</v>
      </c>
      <c r="F45" s="4"/>
      <c r="G45" s="169"/>
      <c r="H45" s="169"/>
      <c r="I45" s="169"/>
      <c r="J45" s="275"/>
      <c r="K45" s="193"/>
      <c r="L45" s="193"/>
      <c r="M45" s="193"/>
      <c r="N45" s="14"/>
      <c r="O45" s="118"/>
      <c r="P45" s="14"/>
      <c r="Q45" s="14"/>
      <c r="R45" s="14"/>
      <c r="S45" s="14"/>
      <c r="T45" s="14"/>
    </row>
    <row r="46" spans="1:20" x14ac:dyDescent="0.25">
      <c r="A46" s="12" t="s">
        <v>24</v>
      </c>
      <c r="B46" s="2"/>
      <c r="C46" s="2"/>
      <c r="D46" s="165"/>
      <c r="E46" s="165"/>
      <c r="F46" s="13"/>
      <c r="G46" s="196"/>
      <c r="H46" s="196"/>
      <c r="I46" s="196"/>
      <c r="J46" s="277"/>
      <c r="K46" s="196"/>
      <c r="L46" s="196"/>
      <c r="M46" s="196"/>
      <c r="N46" s="13"/>
      <c r="O46" s="118"/>
      <c r="P46" s="13"/>
      <c r="Q46" s="13"/>
      <c r="R46" s="13"/>
      <c r="S46" s="13"/>
      <c r="T46" s="13"/>
    </row>
    <row r="47" spans="1:20" x14ac:dyDescent="0.25">
      <c r="A47" s="3" t="s">
        <v>408</v>
      </c>
      <c r="B47" s="4"/>
      <c r="C47" s="4">
        <v>232</v>
      </c>
      <c r="D47" s="169">
        <v>188</v>
      </c>
      <c r="E47" s="169">
        <v>259</v>
      </c>
      <c r="F47" s="4">
        <f>135+7+5+10+5+7+6+2+1+11+2+3+5+2</f>
        <v>201</v>
      </c>
      <c r="G47" s="169">
        <v>201</v>
      </c>
      <c r="H47" s="193">
        <f>74+3+13+47+5+1+6+3+17+2+2</f>
        <v>173</v>
      </c>
      <c r="I47" s="193"/>
      <c r="J47" s="277" t="s">
        <v>674</v>
      </c>
      <c r="K47" s="193"/>
      <c r="L47" s="193"/>
      <c r="M47" s="193"/>
      <c r="N47" s="14"/>
      <c r="O47" s="118"/>
      <c r="P47" s="14"/>
      <c r="Q47" s="14"/>
      <c r="R47" s="14"/>
      <c r="S47" s="14"/>
      <c r="T47" s="14"/>
    </row>
    <row r="48" spans="1:20" x14ac:dyDescent="0.25">
      <c r="A48" s="3" t="s">
        <v>407</v>
      </c>
      <c r="B48" s="4"/>
      <c r="C48" s="4">
        <v>194</v>
      </c>
      <c r="D48" s="169">
        <v>165</v>
      </c>
      <c r="E48" s="169">
        <v>168</v>
      </c>
      <c r="F48" s="14">
        <f>24+16+1+50+26+10+8+1+4+3+1</f>
        <v>144</v>
      </c>
      <c r="G48" s="193">
        <v>45</v>
      </c>
      <c r="H48" s="193">
        <f>23+2+3+11+11+2+1+3</f>
        <v>56</v>
      </c>
      <c r="I48" s="193"/>
      <c r="J48" s="277" t="s">
        <v>675</v>
      </c>
      <c r="K48" s="193"/>
      <c r="L48" s="193"/>
      <c r="M48" s="193"/>
      <c r="N48" s="14"/>
      <c r="O48" s="118"/>
      <c r="P48" s="14"/>
      <c r="Q48" s="14"/>
      <c r="R48" s="14"/>
      <c r="S48" s="14"/>
      <c r="T48" s="14"/>
    </row>
    <row r="49" spans="1:20" x14ac:dyDescent="0.25">
      <c r="A49" s="3" t="s">
        <v>589</v>
      </c>
      <c r="B49" s="4"/>
      <c r="C49" s="4">
        <v>277</v>
      </c>
      <c r="D49" s="169">
        <v>212</v>
      </c>
      <c r="E49" s="169">
        <v>313</v>
      </c>
      <c r="F49" s="4">
        <f>99+28+11+49+42+15+5+5+2+41+15+9+7+8+6+4+6+14+15+7+1</f>
        <v>389</v>
      </c>
      <c r="G49" s="169">
        <v>415</v>
      </c>
      <c r="H49" s="193">
        <f>12+102+19+14+243+32+16+73+4+30+2+18+2+31+2+4+10+7</f>
        <v>621</v>
      </c>
      <c r="I49" s="193"/>
      <c r="J49" s="277" t="s">
        <v>676</v>
      </c>
      <c r="K49" s="193"/>
      <c r="L49" s="193"/>
      <c r="M49" s="193"/>
      <c r="N49" s="14"/>
      <c r="O49" s="118"/>
      <c r="P49" s="14"/>
      <c r="Q49" s="14"/>
      <c r="R49" s="14"/>
      <c r="S49" s="14"/>
      <c r="T49" s="14"/>
    </row>
    <row r="50" spans="1:20" x14ac:dyDescent="0.25">
      <c r="A50" s="3" t="s">
        <v>406</v>
      </c>
      <c r="B50" s="4"/>
      <c r="C50" s="4">
        <v>76</v>
      </c>
      <c r="D50" s="169">
        <v>59</v>
      </c>
      <c r="E50" s="169">
        <v>85</v>
      </c>
      <c r="F50" s="4">
        <f>24+5+1+13+13+1+3+4+4</f>
        <v>68</v>
      </c>
      <c r="G50" s="169">
        <v>59</v>
      </c>
      <c r="H50" s="193">
        <f>14+2+6+10+2+1+1+1+2+2</f>
        <v>41</v>
      </c>
      <c r="I50" s="193"/>
      <c r="J50" s="277"/>
      <c r="K50" s="193"/>
      <c r="L50" s="193"/>
      <c r="M50" s="193"/>
      <c r="N50" s="14"/>
      <c r="O50" s="118"/>
      <c r="P50" s="14"/>
      <c r="Q50" s="14"/>
      <c r="R50" s="14"/>
      <c r="S50" s="14"/>
      <c r="T50" s="14"/>
    </row>
    <row r="51" spans="1:20" x14ac:dyDescent="0.25">
      <c r="A51" s="15" t="s">
        <v>597</v>
      </c>
      <c r="B51" s="7"/>
      <c r="C51" s="7"/>
      <c r="D51" s="7"/>
      <c r="E51" s="7"/>
      <c r="F51" s="4"/>
      <c r="G51" s="169"/>
      <c r="H51" s="193"/>
      <c r="I51" s="193"/>
      <c r="J51" s="277"/>
      <c r="K51" s="193"/>
      <c r="L51" s="193"/>
      <c r="M51" s="193"/>
      <c r="N51" s="14"/>
      <c r="O51" s="118"/>
      <c r="P51" s="14"/>
      <c r="Q51" s="14"/>
      <c r="R51" s="14"/>
      <c r="S51" s="14"/>
      <c r="T51" s="14"/>
    </row>
    <row r="52" spans="1:20" x14ac:dyDescent="0.25">
      <c r="A52" s="15" t="s">
        <v>590</v>
      </c>
      <c r="B52" s="7"/>
      <c r="C52" s="7"/>
      <c r="D52" s="7"/>
      <c r="E52" s="7"/>
      <c r="F52" s="4"/>
      <c r="G52" s="169"/>
      <c r="H52" s="193"/>
      <c r="I52" s="193"/>
      <c r="J52" s="277"/>
      <c r="K52" s="193"/>
      <c r="L52" s="193"/>
      <c r="M52" s="193"/>
      <c r="N52" s="14"/>
      <c r="O52" s="118"/>
      <c r="P52" s="14"/>
      <c r="Q52" s="14"/>
      <c r="R52" s="14"/>
      <c r="S52" s="14"/>
      <c r="T52" s="14"/>
    </row>
    <row r="53" spans="1:20" x14ac:dyDescent="0.25">
      <c r="A53" s="15" t="s">
        <v>553</v>
      </c>
      <c r="B53" s="7"/>
      <c r="C53" s="7"/>
      <c r="D53" s="7"/>
      <c r="E53" s="7"/>
      <c r="F53" s="4"/>
      <c r="G53" s="169">
        <v>65</v>
      </c>
      <c r="H53" s="193">
        <v>4</v>
      </c>
      <c r="I53" s="193"/>
      <c r="J53" s="277"/>
      <c r="K53" s="193"/>
      <c r="L53" s="193"/>
      <c r="M53" s="193"/>
      <c r="N53" s="14"/>
      <c r="O53" s="118"/>
      <c r="P53" s="14"/>
      <c r="Q53" s="14"/>
      <c r="R53" s="14"/>
      <c r="S53" s="14"/>
      <c r="T53" s="14"/>
    </row>
    <row r="54" spans="1:20" x14ac:dyDescent="0.25">
      <c r="A54" s="15" t="s">
        <v>194</v>
      </c>
      <c r="B54" s="7"/>
      <c r="C54" s="7">
        <v>385</v>
      </c>
      <c r="D54" s="7">
        <v>169</v>
      </c>
      <c r="E54" s="7">
        <v>369</v>
      </c>
      <c r="F54" s="14">
        <v>325</v>
      </c>
      <c r="G54" s="193"/>
      <c r="H54" s="193">
        <v>266</v>
      </c>
      <c r="I54" s="193"/>
      <c r="J54" s="277"/>
      <c r="K54" s="193"/>
      <c r="L54" s="193"/>
      <c r="M54" s="193"/>
      <c r="N54" s="14"/>
      <c r="O54" s="118"/>
      <c r="P54" s="14"/>
      <c r="Q54" s="14"/>
      <c r="R54" s="14"/>
      <c r="S54" s="14"/>
      <c r="T54" s="14"/>
    </row>
    <row r="55" spans="1:20" x14ac:dyDescent="0.25">
      <c r="A55" s="12" t="s">
        <v>567</v>
      </c>
      <c r="B55" s="7"/>
      <c r="C55" s="7"/>
      <c r="D55" s="7"/>
      <c r="E55" s="7"/>
      <c r="N55" s="14"/>
      <c r="O55" s="118"/>
      <c r="P55" s="14"/>
      <c r="Q55" s="14"/>
      <c r="R55" s="14"/>
      <c r="S55" s="14"/>
      <c r="T55" s="14"/>
    </row>
    <row r="56" spans="1:20" x14ac:dyDescent="0.25">
      <c r="A56" s="11" t="s">
        <v>638</v>
      </c>
      <c r="B56" s="7"/>
      <c r="C56" s="7"/>
      <c r="D56" s="7"/>
      <c r="E56" s="7"/>
      <c r="G56" s="7">
        <v>380</v>
      </c>
      <c r="H56">
        <v>445</v>
      </c>
      <c r="N56" s="14"/>
      <c r="O56" s="118"/>
      <c r="P56" s="14"/>
      <c r="Q56" s="14"/>
      <c r="R56" s="14"/>
      <c r="S56" s="14"/>
      <c r="T56" s="14"/>
    </row>
    <row r="57" spans="1:20" x14ac:dyDescent="0.25">
      <c r="A57" s="11" t="s">
        <v>639</v>
      </c>
      <c r="B57" s="7"/>
      <c r="C57" s="7"/>
      <c r="D57" s="7"/>
      <c r="E57" s="7"/>
      <c r="G57" s="7">
        <v>336</v>
      </c>
      <c r="H57" s="62">
        <v>362</v>
      </c>
      <c r="I57" s="62"/>
      <c r="N57" s="14"/>
      <c r="O57" s="118"/>
      <c r="P57" s="14"/>
      <c r="Q57" s="14"/>
      <c r="R57" s="14"/>
      <c r="S57" s="14"/>
      <c r="T57" s="14"/>
    </row>
    <row r="58" spans="1:20" x14ac:dyDescent="0.25">
      <c r="A58" s="11" t="s">
        <v>570</v>
      </c>
      <c r="B58" s="7"/>
      <c r="C58" s="7"/>
      <c r="D58" s="7"/>
      <c r="E58" s="7"/>
      <c r="G58" s="7">
        <v>840</v>
      </c>
      <c r="H58" s="7"/>
      <c r="I58" s="7"/>
      <c r="J58" s="284"/>
      <c r="N58" s="14"/>
      <c r="O58" s="118"/>
      <c r="P58" s="14"/>
      <c r="Q58" s="14"/>
      <c r="R58" s="14"/>
      <c r="S58" s="14"/>
      <c r="T58" s="14"/>
    </row>
    <row r="59" spans="1:20" x14ac:dyDescent="0.25">
      <c r="A59" s="11"/>
      <c r="B59" s="7"/>
      <c r="C59" s="7"/>
      <c r="D59" s="7"/>
      <c r="E59" s="7"/>
      <c r="F59" s="174"/>
      <c r="G59" s="174"/>
      <c r="H59" s="174"/>
      <c r="I59" s="174"/>
      <c r="J59" s="285"/>
      <c r="N59" s="14"/>
      <c r="O59" s="118"/>
      <c r="P59" s="14"/>
      <c r="Q59" s="14"/>
      <c r="R59" s="14"/>
      <c r="S59" s="14"/>
      <c r="T59" s="14"/>
    </row>
    <row r="60" spans="1:20" x14ac:dyDescent="0.25">
      <c r="A60" s="173" t="s">
        <v>418</v>
      </c>
      <c r="B60" s="2"/>
      <c r="C60" s="2"/>
      <c r="D60" s="2"/>
      <c r="E60" s="2"/>
      <c r="F60" s="2"/>
      <c r="G60" s="165"/>
      <c r="H60" s="165"/>
      <c r="I60" s="165"/>
      <c r="J60" s="275"/>
      <c r="K60" s="165"/>
      <c r="L60" s="165"/>
      <c r="M60" s="165"/>
      <c r="N60" s="2"/>
      <c r="O60" s="118"/>
      <c r="P60" s="2"/>
      <c r="Q60" s="2"/>
      <c r="R60" s="2"/>
      <c r="S60" s="2"/>
      <c r="T60" s="2"/>
    </row>
    <row r="61" spans="1:20" x14ac:dyDescent="0.25">
      <c r="B61" s="4"/>
      <c r="F61" s="14"/>
    </row>
    <row r="62" spans="1:20" x14ac:dyDescent="0.25">
      <c r="A62" t="s">
        <v>419</v>
      </c>
      <c r="B62" s="4"/>
      <c r="F62" s="14"/>
    </row>
    <row r="63" spans="1:20" x14ac:dyDescent="0.25">
      <c r="A63" t="s">
        <v>424</v>
      </c>
      <c r="B63" s="14"/>
      <c r="D63">
        <v>53</v>
      </c>
      <c r="E63">
        <v>64</v>
      </c>
      <c r="G63">
        <v>74</v>
      </c>
      <c r="H63">
        <v>61</v>
      </c>
    </row>
    <row r="64" spans="1:20" x14ac:dyDescent="0.25">
      <c r="A64" t="s">
        <v>425</v>
      </c>
      <c r="B64" s="14"/>
      <c r="D64">
        <v>35</v>
      </c>
      <c r="E64">
        <v>37</v>
      </c>
      <c r="G64">
        <v>65</v>
      </c>
      <c r="H64">
        <v>38</v>
      </c>
    </row>
    <row r="65" spans="1:17" x14ac:dyDescent="0.25">
      <c r="A65" t="s">
        <v>426</v>
      </c>
      <c r="D65">
        <v>188</v>
      </c>
      <c r="E65">
        <v>299</v>
      </c>
      <c r="G65">
        <v>238</v>
      </c>
      <c r="H65">
        <v>122</v>
      </c>
    </row>
    <row r="66" spans="1:17" x14ac:dyDescent="0.25">
      <c r="A66" t="s">
        <v>421</v>
      </c>
      <c r="B66" s="7"/>
      <c r="D66">
        <v>34</v>
      </c>
      <c r="E66">
        <v>38</v>
      </c>
      <c r="G66">
        <v>37</v>
      </c>
      <c r="H66">
        <v>25</v>
      </c>
    </row>
    <row r="67" spans="1:17" x14ac:dyDescent="0.25">
      <c r="A67" t="s">
        <v>420</v>
      </c>
      <c r="B67" s="7"/>
      <c r="D67">
        <v>294</v>
      </c>
      <c r="E67">
        <v>305</v>
      </c>
      <c r="G67">
        <v>340</v>
      </c>
      <c r="H67">
        <v>236</v>
      </c>
    </row>
    <row r="68" spans="1:17" x14ac:dyDescent="0.25">
      <c r="A68" t="s">
        <v>427</v>
      </c>
      <c r="D68">
        <v>216</v>
      </c>
      <c r="E68">
        <v>133</v>
      </c>
      <c r="G68">
        <v>151</v>
      </c>
      <c r="H68">
        <v>111</v>
      </c>
    </row>
    <row r="69" spans="1:17" x14ac:dyDescent="0.25">
      <c r="A69" t="s">
        <v>428</v>
      </c>
      <c r="D69">
        <v>96</v>
      </c>
      <c r="E69">
        <v>113</v>
      </c>
      <c r="G69">
        <v>100</v>
      </c>
      <c r="H69">
        <v>110</v>
      </c>
    </row>
    <row r="70" spans="1:17" x14ac:dyDescent="0.25">
      <c r="A70" t="s">
        <v>423</v>
      </c>
      <c r="D70">
        <v>83</v>
      </c>
      <c r="E70">
        <v>101</v>
      </c>
      <c r="G70">
        <v>119</v>
      </c>
      <c r="H70">
        <v>79</v>
      </c>
    </row>
    <row r="71" spans="1:17" x14ac:dyDescent="0.25">
      <c r="A71" t="s">
        <v>422</v>
      </c>
      <c r="B71" s="7"/>
      <c r="D71">
        <v>156</v>
      </c>
      <c r="E71">
        <v>147</v>
      </c>
      <c r="G71">
        <v>163</v>
      </c>
      <c r="H71">
        <v>100</v>
      </c>
    </row>
    <row r="73" spans="1:17" x14ac:dyDescent="0.25">
      <c r="A73" t="s">
        <v>429</v>
      </c>
      <c r="D73">
        <v>82</v>
      </c>
      <c r="E73">
        <v>71</v>
      </c>
      <c r="G73">
        <v>58</v>
      </c>
      <c r="H73">
        <v>45</v>
      </c>
    </row>
    <row r="74" spans="1:17" x14ac:dyDescent="0.25">
      <c r="A74" s="11" t="s">
        <v>430</v>
      </c>
      <c r="D74">
        <v>30</v>
      </c>
      <c r="E74">
        <v>57</v>
      </c>
      <c r="G74">
        <v>40</v>
      </c>
      <c r="H74">
        <v>24</v>
      </c>
    </row>
    <row r="75" spans="1:17" x14ac:dyDescent="0.25">
      <c r="A75" s="11" t="s">
        <v>431</v>
      </c>
      <c r="D75">
        <v>14</v>
      </c>
      <c r="E75">
        <v>24</v>
      </c>
      <c r="G75">
        <v>33</v>
      </c>
      <c r="H75">
        <v>20</v>
      </c>
    </row>
    <row r="76" spans="1:17" x14ac:dyDescent="0.25">
      <c r="A76" t="s">
        <v>549</v>
      </c>
      <c r="G76">
        <v>9</v>
      </c>
      <c r="H76">
        <v>14</v>
      </c>
    </row>
    <row r="77" spans="1:17" x14ac:dyDescent="0.25">
      <c r="A77" t="s">
        <v>432</v>
      </c>
      <c r="E77">
        <v>105</v>
      </c>
      <c r="G77">
        <v>91</v>
      </c>
      <c r="H77" s="83">
        <v>66</v>
      </c>
      <c r="I77" s="83"/>
      <c r="J77" s="242"/>
      <c r="K77" s="83"/>
      <c r="L77" s="83"/>
      <c r="M77" s="83"/>
      <c r="N77" s="83"/>
      <c r="P77" s="83"/>
      <c r="Q77" s="83"/>
    </row>
    <row r="78" spans="1:17" x14ac:dyDescent="0.25">
      <c r="A78" s="6" t="s">
        <v>579</v>
      </c>
      <c r="H78">
        <v>92</v>
      </c>
    </row>
    <row r="79" spans="1:17" x14ac:dyDescent="0.25">
      <c r="H79" s="122">
        <f t="shared" ref="H79" si="9">SUM(H63:H78)</f>
        <v>1143</v>
      </c>
      <c r="I79" s="122"/>
      <c r="K79" s="122"/>
      <c r="L79" s="122"/>
      <c r="M79" s="122"/>
      <c r="N79" s="122"/>
      <c r="P79" s="122"/>
      <c r="Q79" s="122"/>
    </row>
    <row r="83" spans="1:17" x14ac:dyDescent="0.25">
      <c r="A83" t="s">
        <v>410</v>
      </c>
    </row>
    <row r="91" spans="1:17" x14ac:dyDescent="0.25">
      <c r="A91" s="12" t="s">
        <v>558</v>
      </c>
      <c r="B91" s="2"/>
      <c r="C91" s="2"/>
      <c r="D91" s="165"/>
      <c r="E91" s="165"/>
      <c r="F91" s="13"/>
      <c r="G91" s="196"/>
      <c r="H91" s="196"/>
      <c r="I91" s="196"/>
      <c r="J91" s="277"/>
      <c r="K91" s="196"/>
      <c r="L91" s="196"/>
      <c r="M91" s="196"/>
      <c r="N91" s="158"/>
      <c r="P91" s="158"/>
      <c r="Q91" s="158"/>
    </row>
    <row r="92" spans="1:17" x14ac:dyDescent="0.25">
      <c r="A92" s="3" t="s">
        <v>561</v>
      </c>
      <c r="B92" s="4"/>
      <c r="C92" s="4">
        <v>232</v>
      </c>
      <c r="D92" s="169">
        <v>188</v>
      </c>
      <c r="E92" s="169"/>
      <c r="F92" s="4"/>
      <c r="G92" s="169">
        <v>330</v>
      </c>
      <c r="H92" s="193"/>
      <c r="I92" s="193"/>
      <c r="J92" s="277"/>
      <c r="K92" s="193"/>
      <c r="L92" s="193"/>
      <c r="M92" s="193"/>
    </row>
    <row r="93" spans="1:17" x14ac:dyDescent="0.25">
      <c r="A93" s="3" t="s">
        <v>598</v>
      </c>
      <c r="B93" s="4"/>
      <c r="C93" s="4">
        <v>194</v>
      </c>
      <c r="D93" s="169">
        <v>165</v>
      </c>
      <c r="E93" s="169"/>
      <c r="F93" s="14"/>
      <c r="G93" s="193">
        <v>516</v>
      </c>
      <c r="H93" s="193"/>
      <c r="I93" s="193"/>
      <c r="J93" s="277"/>
      <c r="K93" s="193"/>
      <c r="L93" s="193"/>
      <c r="M93" s="193"/>
    </row>
    <row r="94" spans="1:17" x14ac:dyDescent="0.25">
      <c r="A94" s="3" t="s">
        <v>599</v>
      </c>
      <c r="B94" s="4"/>
      <c r="C94" s="4">
        <v>277</v>
      </c>
      <c r="D94" s="169">
        <v>212</v>
      </c>
      <c r="E94" s="169"/>
      <c r="F94" s="4"/>
      <c r="G94" s="169">
        <v>472</v>
      </c>
      <c r="H94" s="193"/>
      <c r="I94" s="193"/>
      <c r="J94" s="277"/>
      <c r="K94" s="193"/>
      <c r="L94" s="193"/>
      <c r="M94" s="193"/>
    </row>
    <row r="95" spans="1:17" x14ac:dyDescent="0.25">
      <c r="A95" s="3" t="s">
        <v>600</v>
      </c>
      <c r="B95" s="4"/>
      <c r="C95" s="4">
        <v>277</v>
      </c>
      <c r="D95" s="169">
        <v>212</v>
      </c>
      <c r="E95" s="169"/>
      <c r="F95" s="4"/>
      <c r="G95" s="169">
        <v>372</v>
      </c>
      <c r="H95" s="193"/>
      <c r="I95" s="193"/>
      <c r="J95" s="277"/>
      <c r="K95" s="193"/>
      <c r="L95" s="193"/>
      <c r="M95" s="193"/>
    </row>
    <row r="96" spans="1:17" x14ac:dyDescent="0.25">
      <c r="G96" t="s">
        <v>576</v>
      </c>
    </row>
    <row r="99" spans="1:1" x14ac:dyDescent="0.25">
      <c r="A99" t="s">
        <v>614</v>
      </c>
    </row>
    <row r="100" spans="1:1" x14ac:dyDescent="0.25">
      <c r="A100" s="3" t="s">
        <v>408</v>
      </c>
    </row>
    <row r="101" spans="1:1" x14ac:dyDescent="0.25">
      <c r="A101" s="3" t="s">
        <v>407</v>
      </c>
    </row>
    <row r="102" spans="1:1" x14ac:dyDescent="0.25">
      <c r="A102" s="3" t="s">
        <v>589</v>
      </c>
    </row>
    <row r="103" spans="1:1" x14ac:dyDescent="0.25">
      <c r="A103" s="3" t="s">
        <v>406</v>
      </c>
    </row>
    <row r="108" spans="1:1" x14ac:dyDescent="0.25">
      <c r="A108" s="8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41"/>
  <sheetViews>
    <sheetView workbookViewId="0">
      <pane xSplit="3" ySplit="2" topLeftCell="X3" activePane="bottomRight" state="frozen"/>
      <selection pane="topRight" activeCell="D1" sqref="D1"/>
      <selection pane="bottomLeft" activeCell="A3" sqref="A3"/>
      <selection pane="bottomRight" activeCell="AC7" sqref="AC7"/>
    </sheetView>
  </sheetViews>
  <sheetFormatPr defaultColWidth="8.7109375" defaultRowHeight="15" x14ac:dyDescent="0.25"/>
  <cols>
    <col min="1" max="1" width="22.7109375" customWidth="1"/>
    <col min="2" max="2" width="12.7109375" bestFit="1" customWidth="1"/>
    <col min="3" max="3" width="12.7109375" customWidth="1"/>
    <col min="4" max="5" width="12.7109375" bestFit="1" customWidth="1"/>
    <col min="6" max="6" width="16.7109375" customWidth="1"/>
    <col min="7" max="9" width="12.7109375" bestFit="1" customWidth="1"/>
    <col min="10" max="30" width="14.7109375" customWidth="1"/>
    <col min="31" max="31" width="13.7109375" hidden="1" customWidth="1"/>
    <col min="32" max="32" width="19.7109375" customWidth="1"/>
    <col min="33" max="33" width="12.42578125" bestFit="1" customWidth="1"/>
  </cols>
  <sheetData>
    <row r="1" spans="1:33" ht="15.75" x14ac:dyDescent="0.25">
      <c r="A1" s="99" t="s">
        <v>26</v>
      </c>
      <c r="B1" s="100"/>
      <c r="C1" s="101"/>
      <c r="D1" s="102" t="s">
        <v>1</v>
      </c>
      <c r="E1" s="102" t="s">
        <v>1</v>
      </c>
      <c r="F1" s="124" t="s">
        <v>250</v>
      </c>
      <c r="G1" s="102" t="s">
        <v>1</v>
      </c>
      <c r="H1" s="102" t="s">
        <v>1</v>
      </c>
      <c r="I1" s="102" t="s">
        <v>103</v>
      </c>
      <c r="J1" s="102" t="s">
        <v>266</v>
      </c>
      <c r="K1" s="102" t="s">
        <v>64</v>
      </c>
      <c r="L1" s="102" t="s">
        <v>1</v>
      </c>
      <c r="M1" s="102" t="s">
        <v>1</v>
      </c>
      <c r="N1" s="102" t="s">
        <v>1</v>
      </c>
      <c r="O1" s="102" t="s">
        <v>1</v>
      </c>
      <c r="P1" s="102" t="s">
        <v>1</v>
      </c>
      <c r="Q1" s="102" t="s">
        <v>1</v>
      </c>
      <c r="R1" s="102" t="s">
        <v>1</v>
      </c>
      <c r="S1" s="102" t="s">
        <v>1</v>
      </c>
      <c r="T1" s="102" t="s">
        <v>266</v>
      </c>
      <c r="U1" s="102" t="s">
        <v>305</v>
      </c>
      <c r="V1" s="102" t="s">
        <v>64</v>
      </c>
      <c r="W1" s="102" t="s">
        <v>1</v>
      </c>
      <c r="X1" s="134" t="s">
        <v>309</v>
      </c>
      <c r="Y1" s="102" t="s">
        <v>1</v>
      </c>
      <c r="Z1" s="102" t="s">
        <v>1</v>
      </c>
      <c r="AA1" s="102" t="s">
        <v>1</v>
      </c>
      <c r="AB1" s="102" t="s">
        <v>1</v>
      </c>
      <c r="AC1" s="102" t="s">
        <v>1</v>
      </c>
      <c r="AD1" s="102" t="s">
        <v>1</v>
      </c>
      <c r="AE1" s="123" t="s">
        <v>248</v>
      </c>
      <c r="AF1" s="138" t="s">
        <v>322</v>
      </c>
    </row>
    <row r="2" spans="1:33" ht="15.75" x14ac:dyDescent="0.25">
      <c r="A2" s="99" t="s">
        <v>2</v>
      </c>
      <c r="B2" s="103" t="s">
        <v>17</v>
      </c>
      <c r="C2" s="103" t="s">
        <v>216</v>
      </c>
      <c r="D2" s="103">
        <v>41229</v>
      </c>
      <c r="E2" s="103">
        <f>D2+7</f>
        <v>41236</v>
      </c>
      <c r="F2" s="103">
        <f>E2+3</f>
        <v>41239</v>
      </c>
      <c r="G2" s="103">
        <f>F2+4</f>
        <v>41243</v>
      </c>
      <c r="H2" s="103">
        <f>G2+7</f>
        <v>41250</v>
      </c>
      <c r="I2" s="103">
        <f>H2+12</f>
        <v>41262</v>
      </c>
      <c r="J2" s="103">
        <f>I2+20</f>
        <v>41282</v>
      </c>
      <c r="K2" s="103">
        <f>J2+8</f>
        <v>41290</v>
      </c>
      <c r="L2" s="103">
        <f>K2+9</f>
        <v>41299</v>
      </c>
      <c r="M2" s="103">
        <f>L2+7</f>
        <v>41306</v>
      </c>
      <c r="N2" s="103">
        <f>M2+7</f>
        <v>41313</v>
      </c>
      <c r="O2" s="103">
        <f>N2+7</f>
        <v>41320</v>
      </c>
      <c r="P2" s="103">
        <f>O2+14</f>
        <v>41334</v>
      </c>
      <c r="Q2" s="103">
        <f>P2+7</f>
        <v>41341</v>
      </c>
      <c r="R2" s="103">
        <f>Q2+7</f>
        <v>41348</v>
      </c>
      <c r="S2" s="103">
        <f>R2+7</f>
        <v>41355</v>
      </c>
      <c r="T2" s="103">
        <f>S2+11</f>
        <v>41366</v>
      </c>
      <c r="U2" s="103">
        <f>T2+4</f>
        <v>41370</v>
      </c>
      <c r="V2" s="103">
        <f>U2+4</f>
        <v>41374</v>
      </c>
      <c r="W2" s="103">
        <f>V2+2</f>
        <v>41376</v>
      </c>
      <c r="X2" s="135">
        <f t="shared" ref="X2:AC2" si="0">W2+7</f>
        <v>41383</v>
      </c>
      <c r="Y2" s="103">
        <f t="shared" si="0"/>
        <v>41390</v>
      </c>
      <c r="Z2" s="103">
        <f t="shared" si="0"/>
        <v>41397</v>
      </c>
      <c r="AA2" s="103">
        <f t="shared" si="0"/>
        <v>41404</v>
      </c>
      <c r="AB2" s="103">
        <f t="shared" si="0"/>
        <v>41411</v>
      </c>
      <c r="AC2" s="103">
        <f t="shared" si="0"/>
        <v>41418</v>
      </c>
      <c r="AD2" s="103">
        <f>AC2+7</f>
        <v>41425</v>
      </c>
      <c r="AE2" s="123" t="s">
        <v>249</v>
      </c>
      <c r="AF2" s="103">
        <f>AD2+11</f>
        <v>41436</v>
      </c>
    </row>
    <row r="3" spans="1:33" x14ac:dyDescent="0.25">
      <c r="A3" s="12" t="s">
        <v>15</v>
      </c>
      <c r="B3" s="38">
        <v>40664</v>
      </c>
      <c r="C3" s="38">
        <v>41061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3" x14ac:dyDescent="0.25">
      <c r="A4" s="3" t="s">
        <v>16</v>
      </c>
      <c r="B4" s="40">
        <v>549</v>
      </c>
      <c r="C4" s="40">
        <v>496</v>
      </c>
      <c r="D4" s="14">
        <v>68</v>
      </c>
      <c r="E4" s="14">
        <v>139</v>
      </c>
      <c r="F4" s="14">
        <v>292</v>
      </c>
      <c r="G4" s="14">
        <v>301</v>
      </c>
      <c r="H4" s="14">
        <v>307</v>
      </c>
      <c r="I4" s="14">
        <v>308</v>
      </c>
      <c r="J4" s="14">
        <v>311</v>
      </c>
      <c r="K4" s="14">
        <v>315</v>
      </c>
      <c r="L4" s="14">
        <v>327</v>
      </c>
      <c r="M4" s="14">
        <v>348</v>
      </c>
      <c r="N4" s="14">
        <v>399</v>
      </c>
      <c r="O4" s="14">
        <v>401</v>
      </c>
      <c r="P4" s="14">
        <v>433</v>
      </c>
      <c r="Q4" s="14">
        <v>439</v>
      </c>
      <c r="R4" s="14">
        <v>439</v>
      </c>
      <c r="S4" s="14">
        <v>439</v>
      </c>
      <c r="T4" s="14">
        <v>439</v>
      </c>
      <c r="U4" s="14">
        <v>439</v>
      </c>
      <c r="V4" s="14">
        <v>439</v>
      </c>
      <c r="W4" s="14">
        <v>439</v>
      </c>
      <c r="X4" s="14">
        <v>439</v>
      </c>
      <c r="Y4" s="14">
        <v>439</v>
      </c>
      <c r="Z4" s="14">
        <v>439</v>
      </c>
      <c r="AA4" s="14">
        <v>439</v>
      </c>
      <c r="AB4" s="14">
        <v>439</v>
      </c>
      <c r="AC4" s="14">
        <v>439</v>
      </c>
      <c r="AD4" s="14">
        <v>439</v>
      </c>
      <c r="AE4">
        <f>AC4-AD4</f>
        <v>0</v>
      </c>
      <c r="AF4" s="14">
        <v>439</v>
      </c>
      <c r="AG4" t="s">
        <v>296</v>
      </c>
    </row>
    <row r="5" spans="1:33" x14ac:dyDescent="0.25">
      <c r="A5" s="3" t="s">
        <v>25</v>
      </c>
      <c r="B5" s="40">
        <v>358</v>
      </c>
      <c r="C5" s="40">
        <v>359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>
        <v>373</v>
      </c>
      <c r="T5" s="14">
        <v>373</v>
      </c>
      <c r="U5" s="14">
        <v>373</v>
      </c>
      <c r="V5" s="14">
        <v>373</v>
      </c>
      <c r="W5" s="14">
        <v>373</v>
      </c>
      <c r="X5" s="14">
        <v>373</v>
      </c>
      <c r="Y5" s="14">
        <v>373</v>
      </c>
      <c r="Z5" s="14">
        <v>373</v>
      </c>
      <c r="AA5" s="14">
        <v>373</v>
      </c>
      <c r="AB5" s="14">
        <v>373</v>
      </c>
      <c r="AC5" s="14">
        <v>373</v>
      </c>
      <c r="AD5" s="14">
        <v>373</v>
      </c>
      <c r="AF5" s="14">
        <v>373</v>
      </c>
      <c r="AG5" t="s">
        <v>276</v>
      </c>
    </row>
    <row r="6" spans="1:33" x14ac:dyDescent="0.25">
      <c r="A6" s="1" t="s">
        <v>3</v>
      </c>
      <c r="B6" s="39">
        <v>801</v>
      </c>
      <c r="C6" s="3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22" t="s">
        <v>247</v>
      </c>
      <c r="AF6" s="2"/>
    </row>
    <row r="7" spans="1:33" x14ac:dyDescent="0.25">
      <c r="A7" s="3" t="s">
        <v>4</v>
      </c>
      <c r="B7" s="40">
        <v>937</v>
      </c>
      <c r="C7" s="40">
        <v>989</v>
      </c>
      <c r="D7" s="4">
        <v>19</v>
      </c>
      <c r="E7" s="4">
        <v>19</v>
      </c>
      <c r="F7" s="4">
        <v>21</v>
      </c>
      <c r="G7" s="4">
        <v>22</v>
      </c>
      <c r="H7" s="4">
        <v>22</v>
      </c>
      <c r="I7" s="4">
        <v>26</v>
      </c>
      <c r="J7" s="4">
        <v>31</v>
      </c>
      <c r="K7" s="4">
        <v>31</v>
      </c>
      <c r="L7" s="4">
        <v>38</v>
      </c>
      <c r="M7" s="4">
        <v>41</v>
      </c>
      <c r="N7" s="4">
        <v>49</v>
      </c>
      <c r="O7" s="4">
        <v>55</v>
      </c>
      <c r="P7" s="4">
        <v>80</v>
      </c>
      <c r="Q7" s="4">
        <v>93</v>
      </c>
      <c r="R7" s="4">
        <v>113</v>
      </c>
      <c r="S7" s="4">
        <v>147</v>
      </c>
      <c r="T7" s="4">
        <v>231</v>
      </c>
      <c r="U7" s="4">
        <v>264</v>
      </c>
      <c r="V7" s="4">
        <v>313</v>
      </c>
      <c r="W7" s="4">
        <v>355</v>
      </c>
      <c r="X7" s="4">
        <f>566-X9+2</f>
        <v>526</v>
      </c>
      <c r="Y7" s="4">
        <f>639-Y9+10</f>
        <v>595</v>
      </c>
      <c r="Z7" s="4">
        <f>674-Z9+10</f>
        <v>618</v>
      </c>
      <c r="AA7" s="4">
        <f>704-AA9+10</f>
        <v>640</v>
      </c>
      <c r="AB7" s="4">
        <f>680+14</f>
        <v>694</v>
      </c>
      <c r="AC7" s="4">
        <f>722+14</f>
        <v>736</v>
      </c>
      <c r="AD7" s="4">
        <f>753+14</f>
        <v>767</v>
      </c>
      <c r="AE7">
        <f t="shared" ref="AE7:AE16" si="1">AD7-AC7</f>
        <v>31</v>
      </c>
      <c r="AF7" s="4">
        <v>827</v>
      </c>
    </row>
    <row r="8" spans="1:33" x14ac:dyDescent="0.25">
      <c r="A8" s="3" t="s">
        <v>142</v>
      </c>
      <c r="B8" s="40"/>
      <c r="C8" s="40">
        <v>105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>
        <v>160</v>
      </c>
      <c r="AA8" s="4">
        <v>160</v>
      </c>
      <c r="AB8" s="4">
        <v>160</v>
      </c>
      <c r="AC8" s="4">
        <v>160</v>
      </c>
      <c r="AD8" s="4">
        <v>160</v>
      </c>
      <c r="AE8">
        <f t="shared" si="1"/>
        <v>0</v>
      </c>
      <c r="AF8" s="4">
        <v>176</v>
      </c>
    </row>
    <row r="9" spans="1:33" x14ac:dyDescent="0.25">
      <c r="A9" s="3" t="s">
        <v>161</v>
      </c>
      <c r="B9" s="40">
        <v>938</v>
      </c>
      <c r="C9" s="40">
        <v>861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v>15</v>
      </c>
      <c r="U9" s="4">
        <v>15</v>
      </c>
      <c r="V9" s="4">
        <v>15</v>
      </c>
      <c r="W9" s="4">
        <v>15</v>
      </c>
      <c r="X9" s="4">
        <v>42</v>
      </c>
      <c r="Y9" s="4">
        <v>54</v>
      </c>
      <c r="Z9" s="4">
        <v>66</v>
      </c>
      <c r="AA9" s="4">
        <f>31+7+12+4+20</f>
        <v>74</v>
      </c>
      <c r="AB9" s="4">
        <v>102</v>
      </c>
      <c r="AC9" s="4">
        <v>156</v>
      </c>
      <c r="AD9" s="4">
        <v>204</v>
      </c>
      <c r="AE9">
        <f t="shared" si="1"/>
        <v>48</v>
      </c>
      <c r="AF9" s="4">
        <v>814</v>
      </c>
    </row>
    <row r="10" spans="1:33" x14ac:dyDescent="0.25">
      <c r="A10" s="3" t="s">
        <v>5</v>
      </c>
      <c r="B10" s="40"/>
      <c r="C10" s="40">
        <v>284</v>
      </c>
      <c r="D10" s="4"/>
      <c r="E10" s="4"/>
      <c r="F10" s="4"/>
      <c r="G10" s="4"/>
      <c r="H10" s="4"/>
      <c r="I10" s="4"/>
      <c r="J10" s="4">
        <v>59</v>
      </c>
      <c r="K10" s="4">
        <v>139</v>
      </c>
      <c r="L10" s="4">
        <v>151</v>
      </c>
      <c r="M10" s="4">
        <v>162</v>
      </c>
      <c r="N10" s="4">
        <v>161</v>
      </c>
      <c r="O10" s="4">
        <v>162</v>
      </c>
      <c r="P10" s="4">
        <v>164</v>
      </c>
      <c r="Q10" s="4">
        <v>167</v>
      </c>
      <c r="R10" s="4">
        <v>167</v>
      </c>
      <c r="S10" s="4">
        <v>175</v>
      </c>
      <c r="T10" s="4">
        <v>181</v>
      </c>
      <c r="U10" s="4">
        <v>188</v>
      </c>
      <c r="V10" s="4">
        <v>188</v>
      </c>
      <c r="W10" s="4">
        <v>188</v>
      </c>
      <c r="X10" s="4">
        <f>195-X11</f>
        <v>182</v>
      </c>
      <c r="Y10" s="4">
        <f>197-Y11</f>
        <v>184</v>
      </c>
      <c r="Z10" s="4">
        <f>197-Z11</f>
        <v>183</v>
      </c>
      <c r="AA10" s="4">
        <f>197-AA11</f>
        <v>183</v>
      </c>
      <c r="AB10" s="4">
        <f>199-AB11</f>
        <v>185</v>
      </c>
      <c r="AC10" s="4">
        <f>213-AC11</f>
        <v>184</v>
      </c>
      <c r="AD10" s="4">
        <f>217-AD11</f>
        <v>184</v>
      </c>
      <c r="AE10">
        <f t="shared" si="1"/>
        <v>0</v>
      </c>
      <c r="AF10" s="4">
        <f>301-65-AF11+25</f>
        <v>226</v>
      </c>
    </row>
    <row r="11" spans="1:33" x14ac:dyDescent="0.25">
      <c r="A11" s="3" t="s">
        <v>307</v>
      </c>
      <c r="B11" s="40"/>
      <c r="C11" s="40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>
        <v>13</v>
      </c>
      <c r="Y11" s="4">
        <v>13</v>
      </c>
      <c r="Z11" s="4">
        <v>14</v>
      </c>
      <c r="AA11" s="4">
        <v>14</v>
      </c>
      <c r="AB11" s="4">
        <v>14</v>
      </c>
      <c r="AC11" s="4">
        <v>29</v>
      </c>
      <c r="AD11" s="4">
        <v>33</v>
      </c>
      <c r="AE11">
        <f t="shared" si="1"/>
        <v>4</v>
      </c>
      <c r="AF11" s="4">
        <v>35</v>
      </c>
    </row>
    <row r="12" spans="1:33" x14ac:dyDescent="0.25">
      <c r="A12" s="3" t="s">
        <v>267</v>
      </c>
      <c r="B12" s="40"/>
      <c r="C12" s="40"/>
      <c r="D12" s="4"/>
      <c r="E12" s="4"/>
      <c r="F12" s="4"/>
      <c r="G12" s="4"/>
      <c r="H12" s="4"/>
      <c r="I12" s="4"/>
      <c r="J12" s="4">
        <v>6</v>
      </c>
      <c r="K12" s="4">
        <v>19</v>
      </c>
      <c r="L12" s="4">
        <v>20</v>
      </c>
      <c r="M12" s="4">
        <v>24</v>
      </c>
      <c r="N12" s="4">
        <v>24</v>
      </c>
      <c r="O12" s="4">
        <v>24</v>
      </c>
      <c r="P12" s="4">
        <v>24</v>
      </c>
      <c r="Q12" s="4">
        <v>24</v>
      </c>
      <c r="R12" s="4">
        <v>24</v>
      </c>
      <c r="S12" s="4">
        <v>26</v>
      </c>
      <c r="T12" s="4">
        <v>25</v>
      </c>
      <c r="U12" s="4">
        <v>26</v>
      </c>
      <c r="V12" s="4">
        <v>26</v>
      </c>
      <c r="W12" s="4">
        <v>26</v>
      </c>
      <c r="X12" s="4">
        <v>27</v>
      </c>
      <c r="Y12" s="4">
        <v>27</v>
      </c>
      <c r="Z12" s="4">
        <v>27</v>
      </c>
      <c r="AA12" s="4">
        <v>27</v>
      </c>
      <c r="AB12" s="4">
        <v>26</v>
      </c>
      <c r="AC12" s="4">
        <v>27</v>
      </c>
      <c r="AD12" s="4">
        <v>27</v>
      </c>
      <c r="AE12">
        <f t="shared" si="1"/>
        <v>0</v>
      </c>
      <c r="AF12" s="4">
        <v>27</v>
      </c>
    </row>
    <row r="13" spans="1:33" x14ac:dyDescent="0.25">
      <c r="A13" s="3" t="s">
        <v>321</v>
      </c>
      <c r="B13" s="40"/>
      <c r="C13" s="40">
        <f>13+6</f>
        <v>19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>
        <v>1</v>
      </c>
      <c r="V13" s="4">
        <v>1</v>
      </c>
      <c r="W13" s="4">
        <v>1</v>
      </c>
      <c r="X13" s="4">
        <v>2</v>
      </c>
      <c r="Y13" s="4">
        <v>1</v>
      </c>
      <c r="Z13" s="4">
        <v>2</v>
      </c>
      <c r="AA13" s="4">
        <v>2</v>
      </c>
      <c r="AB13" s="4">
        <v>6</v>
      </c>
      <c r="AC13" s="4">
        <v>8</v>
      </c>
      <c r="AD13" s="4">
        <f>15+3+2</f>
        <v>20</v>
      </c>
      <c r="AE13">
        <f t="shared" si="1"/>
        <v>12</v>
      </c>
      <c r="AF13" s="4">
        <f>15+3+2+19</f>
        <v>39</v>
      </c>
    </row>
    <row r="14" spans="1:33" x14ac:dyDescent="0.25">
      <c r="A14" s="3" t="s">
        <v>162</v>
      </c>
      <c r="B14" s="40"/>
      <c r="C14" s="40">
        <v>693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v>12</v>
      </c>
      <c r="P14" s="4">
        <v>12</v>
      </c>
      <c r="Q14" s="4">
        <v>12</v>
      </c>
      <c r="R14" s="4">
        <v>12</v>
      </c>
      <c r="S14" s="4">
        <v>12</v>
      </c>
      <c r="T14" s="4">
        <v>16</v>
      </c>
      <c r="U14" s="4">
        <v>18</v>
      </c>
      <c r="V14" s="4">
        <v>18</v>
      </c>
      <c r="W14" s="4">
        <v>18</v>
      </c>
      <c r="X14" s="4">
        <f>30+2</f>
        <v>32</v>
      </c>
      <c r="Y14" s="4">
        <f>40+27</f>
        <v>67</v>
      </c>
      <c r="Z14" s="4">
        <f>119+29</f>
        <v>148</v>
      </c>
      <c r="AA14" s="4">
        <f>119+29</f>
        <v>148</v>
      </c>
      <c r="AB14" s="4">
        <v>328</v>
      </c>
      <c r="AC14" s="4">
        <v>357</v>
      </c>
      <c r="AD14" s="4">
        <v>483</v>
      </c>
      <c r="AE14">
        <f t="shared" si="1"/>
        <v>126</v>
      </c>
      <c r="AF14" s="4">
        <v>885</v>
      </c>
    </row>
    <row r="15" spans="1:33" x14ac:dyDescent="0.25">
      <c r="A15" s="3" t="s">
        <v>313</v>
      </c>
      <c r="B15" s="40"/>
      <c r="C15" s="40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>
        <v>133</v>
      </c>
      <c r="AA15" s="4">
        <v>133</v>
      </c>
      <c r="AB15" s="4">
        <v>186</v>
      </c>
      <c r="AC15" s="4">
        <v>156</v>
      </c>
      <c r="AD15" s="4">
        <v>156</v>
      </c>
      <c r="AE15">
        <f t="shared" si="1"/>
        <v>0</v>
      </c>
      <c r="AF15" s="4">
        <v>156</v>
      </c>
    </row>
    <row r="16" spans="1:33" x14ac:dyDescent="0.25">
      <c r="A16" s="1" t="s">
        <v>217</v>
      </c>
      <c r="B16" s="41">
        <f t="shared" ref="B16:W16" si="2">SUM(B7:B13)</f>
        <v>1875</v>
      </c>
      <c r="C16" s="41">
        <f t="shared" si="2"/>
        <v>2258</v>
      </c>
      <c r="D16" s="5">
        <f t="shared" si="2"/>
        <v>19</v>
      </c>
      <c r="E16" s="5">
        <f t="shared" si="2"/>
        <v>19</v>
      </c>
      <c r="F16" s="5">
        <f t="shared" si="2"/>
        <v>21</v>
      </c>
      <c r="G16" s="5">
        <f t="shared" si="2"/>
        <v>22</v>
      </c>
      <c r="H16" s="5">
        <f t="shared" si="2"/>
        <v>22</v>
      </c>
      <c r="I16" s="5">
        <f t="shared" si="2"/>
        <v>26</v>
      </c>
      <c r="J16" s="5">
        <f t="shared" si="2"/>
        <v>96</v>
      </c>
      <c r="K16" s="5">
        <f t="shared" si="2"/>
        <v>189</v>
      </c>
      <c r="L16" s="5">
        <f t="shared" si="2"/>
        <v>209</v>
      </c>
      <c r="M16" s="5">
        <f t="shared" si="2"/>
        <v>227</v>
      </c>
      <c r="N16" s="5">
        <f t="shared" si="2"/>
        <v>234</v>
      </c>
      <c r="O16" s="5">
        <f t="shared" si="2"/>
        <v>241</v>
      </c>
      <c r="P16" s="5">
        <f t="shared" si="2"/>
        <v>268</v>
      </c>
      <c r="Q16" s="5">
        <f t="shared" si="2"/>
        <v>284</v>
      </c>
      <c r="R16" s="5">
        <f t="shared" si="2"/>
        <v>304</v>
      </c>
      <c r="S16" s="5">
        <f t="shared" si="2"/>
        <v>348</v>
      </c>
      <c r="T16" s="5">
        <f t="shared" si="2"/>
        <v>452</v>
      </c>
      <c r="U16" s="5">
        <f t="shared" si="2"/>
        <v>494</v>
      </c>
      <c r="V16" s="5">
        <f t="shared" si="2"/>
        <v>543</v>
      </c>
      <c r="W16" s="5">
        <f t="shared" si="2"/>
        <v>585</v>
      </c>
      <c r="X16" s="5">
        <f>SUM(X7:X14)</f>
        <v>824</v>
      </c>
      <c r="Y16" s="5">
        <f>SUM(Y7:Y14)</f>
        <v>941</v>
      </c>
      <c r="Z16" s="5">
        <f>SUM(Z7:Z15)</f>
        <v>1351</v>
      </c>
      <c r="AA16" s="5">
        <f>SUM(AA7:AA15)</f>
        <v>1381</v>
      </c>
      <c r="AB16" s="5">
        <f>SUM(AB7:AB14)-AB8</f>
        <v>1355</v>
      </c>
      <c r="AC16" s="5">
        <f>SUM(AC7:AC14)-AC8</f>
        <v>1497</v>
      </c>
      <c r="AD16" s="5">
        <f>SUM(AD7:AD14)-AD8</f>
        <v>1718</v>
      </c>
      <c r="AE16">
        <f t="shared" si="1"/>
        <v>221</v>
      </c>
      <c r="AF16" s="5">
        <f>SUM(AF7:AF15)-AF8</f>
        <v>3009</v>
      </c>
    </row>
    <row r="17" spans="1:33" x14ac:dyDescent="0.25">
      <c r="A17" s="6"/>
      <c r="B17" s="40"/>
      <c r="C17" s="9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F17" s="7"/>
    </row>
    <row r="18" spans="1:33" x14ac:dyDescent="0.25">
      <c r="A18" s="1" t="s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F18" s="2"/>
    </row>
    <row r="19" spans="1:33" x14ac:dyDescent="0.25">
      <c r="A19" s="54" t="s">
        <v>9</v>
      </c>
      <c r="B19" s="42" t="s">
        <v>218</v>
      </c>
      <c r="C19" s="53">
        <f>167086</f>
        <v>167086</v>
      </c>
      <c r="D19" s="53">
        <f>4574/1.2</f>
        <v>3811.666666666667</v>
      </c>
      <c r="E19" s="53">
        <f>4574/1.2</f>
        <v>3811.666666666667</v>
      </c>
      <c r="F19" s="53">
        <f>4979/1.2</f>
        <v>4149.166666666667</v>
      </c>
      <c r="G19" s="53">
        <f>4979/1.2</f>
        <v>4149.166666666667</v>
      </c>
      <c r="H19" s="53">
        <f>4979/1.2</f>
        <v>4149.166666666667</v>
      </c>
      <c r="I19" s="53">
        <f>5882/1.2</f>
        <v>4901.666666666667</v>
      </c>
      <c r="J19" s="53">
        <f>7218/1.2</f>
        <v>6015</v>
      </c>
      <c r="K19" s="53">
        <f>7218/1.2</f>
        <v>6015</v>
      </c>
      <c r="L19" s="53">
        <f>9193/1.2</f>
        <v>7660.8333333333339</v>
      </c>
      <c r="M19" s="53">
        <f>9858/1.2</f>
        <v>8215</v>
      </c>
      <c r="N19" s="53">
        <f>(10958+1395)/1.2</f>
        <v>10294.166666666668</v>
      </c>
      <c r="O19" s="53">
        <f>13737/1.2</f>
        <v>11447.5</v>
      </c>
      <c r="P19" s="53">
        <f>19147/1.2</f>
        <v>15955.833333333334</v>
      </c>
      <c r="Q19" s="53">
        <f>22294/1.2</f>
        <v>18578.333333333336</v>
      </c>
      <c r="R19" s="53">
        <f>27785/1.2</f>
        <v>23154.166666666668</v>
      </c>
      <c r="S19" s="53">
        <f>35671/1.2</f>
        <v>29725.833333333336</v>
      </c>
      <c r="T19" s="53">
        <f>53405/1.2</f>
        <v>44504.166666666672</v>
      </c>
      <c r="U19" s="53">
        <f>62144/1.2</f>
        <v>51786.666666666672</v>
      </c>
      <c r="V19" s="53">
        <f>73695/1.2</f>
        <v>61412.5</v>
      </c>
      <c r="W19" s="53">
        <f>82208/1.2</f>
        <v>68506.666666666672</v>
      </c>
      <c r="X19" s="53">
        <f>129801/1.2</f>
        <v>108167.5</v>
      </c>
      <c r="Y19" s="53">
        <f>145147/1.2</f>
        <v>120955.83333333334</v>
      </c>
      <c r="Z19" s="53">
        <f>150013.6/1.2</f>
        <v>125011.33333333334</v>
      </c>
      <c r="AA19" s="53">
        <f>156361.6/1.2</f>
        <v>130301.33333333334</v>
      </c>
      <c r="AB19" s="53">
        <f>164973.6/1.2</f>
        <v>137478</v>
      </c>
      <c r="AC19" s="53">
        <f>177276.6/1.2</f>
        <v>147730.5</v>
      </c>
      <c r="AD19" s="53">
        <f>183648.6/1.2</f>
        <v>153040.5</v>
      </c>
      <c r="AE19" s="44">
        <f>AD19-AC19</f>
        <v>5310</v>
      </c>
      <c r="AF19" s="53">
        <f>202882.6/1.2</f>
        <v>169068.83333333334</v>
      </c>
    </row>
    <row r="20" spans="1:33" x14ac:dyDescent="0.25">
      <c r="A20" s="8" t="s">
        <v>268</v>
      </c>
      <c r="B20" s="42"/>
      <c r="C20" s="42">
        <v>10980</v>
      </c>
      <c r="D20" s="9">
        <v>8985</v>
      </c>
      <c r="E20" s="9">
        <v>8985</v>
      </c>
      <c r="F20" s="9">
        <v>8985</v>
      </c>
      <c r="G20" s="9">
        <f>7585+2885</f>
        <v>10470</v>
      </c>
      <c r="H20" s="9">
        <f>7585+2885</f>
        <v>10470</v>
      </c>
      <c r="I20" s="9">
        <f>7585+2090</f>
        <v>9675</v>
      </c>
      <c r="J20" s="9">
        <f>7585+2090</f>
        <v>9675</v>
      </c>
      <c r="K20" s="9">
        <f>7585+2090</f>
        <v>9675</v>
      </c>
      <c r="L20" s="9">
        <f>7585+2885</f>
        <v>10470</v>
      </c>
      <c r="M20" s="9">
        <v>11265</v>
      </c>
      <c r="N20" s="9">
        <v>12855</v>
      </c>
      <c r="O20" s="9">
        <v>14150</v>
      </c>
      <c r="P20" s="9">
        <v>14150</v>
      </c>
      <c r="Q20" s="9">
        <v>14150</v>
      </c>
      <c r="R20" s="9">
        <v>16150</v>
      </c>
      <c r="S20" s="9">
        <f t="shared" ref="S20:AB20" si="3">9585+6565</f>
        <v>16150</v>
      </c>
      <c r="T20" s="9">
        <f t="shared" si="3"/>
        <v>16150</v>
      </c>
      <c r="U20" s="9">
        <f t="shared" si="3"/>
        <v>16150</v>
      </c>
      <c r="V20" s="9">
        <f t="shared" si="3"/>
        <v>16150</v>
      </c>
      <c r="W20" s="9">
        <f t="shared" si="3"/>
        <v>16150</v>
      </c>
      <c r="X20" s="9">
        <f t="shared" si="3"/>
        <v>16150</v>
      </c>
      <c r="Y20" s="9">
        <f t="shared" si="3"/>
        <v>16150</v>
      </c>
      <c r="Z20" s="9">
        <f t="shared" si="3"/>
        <v>16150</v>
      </c>
      <c r="AA20" s="9">
        <f t="shared" si="3"/>
        <v>16150</v>
      </c>
      <c r="AB20" s="9">
        <f t="shared" si="3"/>
        <v>16150</v>
      </c>
      <c r="AC20" s="9">
        <v>18400</v>
      </c>
      <c r="AD20" s="9">
        <v>19150</v>
      </c>
      <c r="AF20" s="9">
        <f>6565+9585+3000</f>
        <v>19150</v>
      </c>
    </row>
    <row r="21" spans="1:33" x14ac:dyDescent="0.25">
      <c r="A21" s="8" t="s">
        <v>11</v>
      </c>
      <c r="B21" s="42">
        <v>478526</v>
      </c>
      <c r="C21" s="42">
        <v>490077</v>
      </c>
      <c r="D21" s="9">
        <v>231200</v>
      </c>
      <c r="E21" s="9">
        <v>231200</v>
      </c>
      <c r="F21" s="9">
        <v>231200</v>
      </c>
      <c r="G21" s="9">
        <v>262910</v>
      </c>
      <c r="H21" s="9">
        <v>262910</v>
      </c>
      <c r="I21" s="9">
        <v>280168</v>
      </c>
      <c r="J21" s="9">
        <v>301400</v>
      </c>
      <c r="K21" s="9">
        <v>330040</v>
      </c>
      <c r="L21" s="9">
        <v>321600</v>
      </c>
      <c r="M21" s="9">
        <v>352400</v>
      </c>
      <c r="N21" s="9">
        <v>378080</v>
      </c>
      <c r="O21" s="9">
        <v>390290</v>
      </c>
      <c r="P21" s="9">
        <v>391310</v>
      </c>
      <c r="Q21" s="9">
        <v>391310</v>
      </c>
      <c r="R21" s="9">
        <v>394910</v>
      </c>
      <c r="S21" s="9">
        <v>394910</v>
      </c>
      <c r="T21" s="9">
        <v>402380</v>
      </c>
      <c r="U21" s="9">
        <v>412350</v>
      </c>
      <c r="V21" s="9">
        <v>429490</v>
      </c>
      <c r="W21" s="9">
        <v>429490</v>
      </c>
      <c r="X21" s="9">
        <v>439090</v>
      </c>
      <c r="Y21" s="9">
        <v>439570</v>
      </c>
      <c r="Z21" s="9">
        <v>439570</v>
      </c>
      <c r="AA21" s="9">
        <v>441610</v>
      </c>
      <c r="AB21" s="9">
        <v>441610</v>
      </c>
      <c r="AC21" s="9">
        <v>449530</v>
      </c>
      <c r="AD21" s="9">
        <v>452590</v>
      </c>
      <c r="AE21" t="s">
        <v>251</v>
      </c>
      <c r="AF21" s="9">
        <v>455610</v>
      </c>
    </row>
    <row r="22" spans="1:33" x14ac:dyDescent="0.25">
      <c r="A22" s="8" t="s">
        <v>12</v>
      </c>
      <c r="B22" s="42">
        <v>0</v>
      </c>
      <c r="C22" s="42">
        <v>18790</v>
      </c>
      <c r="D22" s="9">
        <f>2395+1295+695</f>
        <v>4385</v>
      </c>
      <c r="E22" s="9">
        <f>2395+1295+695</f>
        <v>4385</v>
      </c>
      <c r="F22" s="9">
        <f>2395+1295+695</f>
        <v>4385</v>
      </c>
      <c r="G22" s="9">
        <f>2395+2085</f>
        <v>4480</v>
      </c>
      <c r="H22" s="9">
        <f>2395+2085</f>
        <v>4480</v>
      </c>
      <c r="I22" s="9">
        <f>4370+2395</f>
        <v>6765</v>
      </c>
      <c r="J22" s="9">
        <f>4565+2395</f>
        <v>6960</v>
      </c>
      <c r="K22" s="9">
        <f>4565+2690</f>
        <v>7255</v>
      </c>
      <c r="L22" s="9">
        <f>5260+2690</f>
        <v>7950</v>
      </c>
      <c r="M22" s="9">
        <v>7255</v>
      </c>
      <c r="N22" s="9">
        <v>7255</v>
      </c>
      <c r="O22" s="9">
        <v>7255</v>
      </c>
      <c r="P22" s="9">
        <v>7550</v>
      </c>
      <c r="Q22" s="9">
        <v>7550</v>
      </c>
      <c r="R22" s="9">
        <v>7550</v>
      </c>
      <c r="S22" s="9">
        <f>3880+3670</f>
        <v>7550</v>
      </c>
      <c r="T22" s="9">
        <f>3880+4025</f>
        <v>7905</v>
      </c>
      <c r="U22" s="9">
        <f t="shared" ref="U22:AB22" si="4">3880+4560</f>
        <v>8440</v>
      </c>
      <c r="V22" s="9">
        <f t="shared" si="4"/>
        <v>8440</v>
      </c>
      <c r="W22" s="9">
        <f t="shared" si="4"/>
        <v>8440</v>
      </c>
      <c r="X22" s="9">
        <f t="shared" si="4"/>
        <v>8440</v>
      </c>
      <c r="Y22" s="9">
        <f t="shared" si="4"/>
        <v>8440</v>
      </c>
      <c r="Z22" s="9">
        <f t="shared" si="4"/>
        <v>8440</v>
      </c>
      <c r="AA22" s="9">
        <f t="shared" si="4"/>
        <v>8440</v>
      </c>
      <c r="AB22" s="9">
        <f t="shared" si="4"/>
        <v>8440</v>
      </c>
      <c r="AC22" s="9">
        <v>12215</v>
      </c>
      <c r="AD22" s="9">
        <v>12910</v>
      </c>
      <c r="AE22" s="93">
        <f>(AD20+AD21+AD22)-(AC20+AC21+AC22)</f>
        <v>4505</v>
      </c>
      <c r="AF22" s="9">
        <f>5175+7735</f>
        <v>12910</v>
      </c>
      <c r="AG22" s="44">
        <f>AF20+AF21+AF22</f>
        <v>487670</v>
      </c>
    </row>
    <row r="23" spans="1:33" x14ac:dyDescent="0.25">
      <c r="A23" s="1" t="s">
        <v>13</v>
      </c>
      <c r="B23" s="43">
        <f>SUM(B19:B22)</f>
        <v>478526</v>
      </c>
      <c r="C23" s="10">
        <f>SUM(C19:C22)</f>
        <v>686933</v>
      </c>
      <c r="D23" s="10">
        <f>SUM(D19:D22)</f>
        <v>248381.66666666666</v>
      </c>
      <c r="E23" s="10">
        <f t="shared" ref="E23:J23" si="5">SUM(E19:E22)</f>
        <v>248381.66666666666</v>
      </c>
      <c r="F23" s="10">
        <f t="shared" si="5"/>
        <v>248719.16666666666</v>
      </c>
      <c r="G23" s="10">
        <f t="shared" si="5"/>
        <v>282009.16666666669</v>
      </c>
      <c r="H23" s="10">
        <f t="shared" si="5"/>
        <v>282009.16666666669</v>
      </c>
      <c r="I23" s="10">
        <f t="shared" si="5"/>
        <v>301509.66666666669</v>
      </c>
      <c r="J23" s="10">
        <f t="shared" si="5"/>
        <v>324050</v>
      </c>
      <c r="K23" s="10">
        <f>SUM(K19:K22)-K19</f>
        <v>346970</v>
      </c>
      <c r="L23" s="10">
        <f t="shared" ref="L23:AD23" si="6">SUM(L19:L22)</f>
        <v>347680.83333333331</v>
      </c>
      <c r="M23" s="10">
        <f t="shared" si="6"/>
        <v>379135</v>
      </c>
      <c r="N23" s="10">
        <f t="shared" si="6"/>
        <v>408484.16666666669</v>
      </c>
      <c r="O23" s="10">
        <f t="shared" si="6"/>
        <v>423142.5</v>
      </c>
      <c r="P23" s="10">
        <f t="shared" si="6"/>
        <v>428965.83333333331</v>
      </c>
      <c r="Q23" s="10">
        <f t="shared" si="6"/>
        <v>431588.33333333331</v>
      </c>
      <c r="R23" s="10">
        <f t="shared" si="6"/>
        <v>441764.16666666669</v>
      </c>
      <c r="S23" s="10">
        <f t="shared" si="6"/>
        <v>448335.83333333331</v>
      </c>
      <c r="T23" s="10">
        <f t="shared" si="6"/>
        <v>470939.16666666669</v>
      </c>
      <c r="U23" s="10">
        <f t="shared" si="6"/>
        <v>488726.66666666669</v>
      </c>
      <c r="V23" s="10">
        <f t="shared" si="6"/>
        <v>515492.5</v>
      </c>
      <c r="W23" s="10">
        <f t="shared" si="6"/>
        <v>522586.66666666669</v>
      </c>
      <c r="X23" s="10">
        <f t="shared" si="6"/>
        <v>571847.5</v>
      </c>
      <c r="Y23" s="10">
        <f t="shared" si="6"/>
        <v>585115.83333333337</v>
      </c>
      <c r="Z23" s="10">
        <f t="shared" si="6"/>
        <v>589171.33333333337</v>
      </c>
      <c r="AA23" s="10">
        <f t="shared" si="6"/>
        <v>596501.33333333337</v>
      </c>
      <c r="AB23" s="10">
        <f t="shared" si="6"/>
        <v>603678</v>
      </c>
      <c r="AC23" s="10">
        <f t="shared" si="6"/>
        <v>627875.5</v>
      </c>
      <c r="AD23" s="10">
        <f t="shared" si="6"/>
        <v>637690.5</v>
      </c>
      <c r="AF23" s="10">
        <f>SUM(AF19:AF22)</f>
        <v>656738.83333333337</v>
      </c>
    </row>
    <row r="24" spans="1:33" x14ac:dyDescent="0.25">
      <c r="A24" s="6"/>
      <c r="B24" s="65"/>
      <c r="C24" s="98"/>
      <c r="D24" s="7"/>
      <c r="E24" s="7"/>
      <c r="F24" s="7"/>
      <c r="G24" s="7"/>
      <c r="H24" s="7"/>
      <c r="I24" s="7"/>
      <c r="J24" s="7"/>
      <c r="K24" s="7"/>
      <c r="L24" s="7"/>
      <c r="M24" s="7"/>
      <c r="N24" s="131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131">
        <f>AD20+AD21+AD22</f>
        <v>484650</v>
      </c>
      <c r="AF24" s="7"/>
    </row>
    <row r="25" spans="1:33" x14ac:dyDescent="0.25">
      <c r="A25" s="1" t="s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F25" s="2"/>
    </row>
    <row r="26" spans="1:33" x14ac:dyDescent="0.25">
      <c r="A26" s="3" t="s">
        <v>288</v>
      </c>
      <c r="B26" s="4">
        <v>0</v>
      </c>
      <c r="C26" s="4">
        <v>82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19</v>
      </c>
      <c r="U26" s="4">
        <v>19</v>
      </c>
      <c r="V26" s="4">
        <v>19</v>
      </c>
      <c r="W26" s="4">
        <v>19</v>
      </c>
      <c r="X26" s="4">
        <v>39</v>
      </c>
      <c r="Y26" s="4">
        <v>42</v>
      </c>
      <c r="Z26" s="4">
        <v>43</v>
      </c>
      <c r="AA26" s="4">
        <v>44</v>
      </c>
      <c r="AB26" s="4">
        <v>45</v>
      </c>
      <c r="AC26" s="4">
        <v>49</v>
      </c>
      <c r="AD26" s="4">
        <v>49</v>
      </c>
      <c r="AF26" s="4">
        <v>81</v>
      </c>
    </row>
    <row r="27" spans="1:33" x14ac:dyDescent="0.25">
      <c r="A27" s="3" t="s">
        <v>289</v>
      </c>
      <c r="B27" s="4">
        <v>0</v>
      </c>
      <c r="C27" s="4">
        <v>78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10</v>
      </c>
      <c r="U27" s="4">
        <v>10</v>
      </c>
      <c r="V27" s="4">
        <v>10</v>
      </c>
      <c r="W27" s="4">
        <v>10</v>
      </c>
      <c r="X27" s="4">
        <v>25</v>
      </c>
      <c r="Y27" s="4">
        <v>28</v>
      </c>
      <c r="Z27" s="4">
        <v>48</v>
      </c>
      <c r="AA27" s="4">
        <v>48</v>
      </c>
      <c r="AB27" s="4">
        <v>49</v>
      </c>
      <c r="AC27" s="4">
        <v>53</v>
      </c>
      <c r="AD27" s="4">
        <v>59</v>
      </c>
      <c r="AF27" s="4">
        <v>94</v>
      </c>
    </row>
    <row r="28" spans="1:33" x14ac:dyDescent="0.25">
      <c r="A28" s="11"/>
      <c r="B28" s="7"/>
      <c r="C28" s="7"/>
    </row>
    <row r="29" spans="1:33" x14ac:dyDescent="0.25">
      <c r="A29" s="12" t="s">
        <v>21</v>
      </c>
      <c r="B29" s="2"/>
      <c r="C29" s="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F29" s="13"/>
    </row>
    <row r="30" spans="1:33" x14ac:dyDescent="0.25">
      <c r="A30" s="3" t="s">
        <v>22</v>
      </c>
      <c r="B30" s="4"/>
      <c r="C30" s="4">
        <v>85</v>
      </c>
      <c r="D30" s="14">
        <v>1</v>
      </c>
      <c r="E30" s="14">
        <v>1</v>
      </c>
      <c r="F30" s="14">
        <v>1</v>
      </c>
      <c r="G30" s="14">
        <v>1</v>
      </c>
      <c r="H30" s="14">
        <v>1</v>
      </c>
      <c r="I30" s="14">
        <v>1</v>
      </c>
      <c r="J30" s="14">
        <v>1</v>
      </c>
      <c r="K30" s="14">
        <v>1</v>
      </c>
      <c r="L30" s="14">
        <v>1</v>
      </c>
      <c r="M30" s="14">
        <v>1</v>
      </c>
      <c r="N30" s="14">
        <v>1</v>
      </c>
      <c r="O30" s="14">
        <v>1</v>
      </c>
      <c r="P30" s="14">
        <v>1</v>
      </c>
      <c r="Q30" s="14">
        <v>1</v>
      </c>
      <c r="R30" s="14">
        <v>1</v>
      </c>
      <c r="S30" s="14">
        <v>1</v>
      </c>
      <c r="T30" s="14">
        <v>1</v>
      </c>
      <c r="U30" s="14">
        <v>1</v>
      </c>
      <c r="V30" s="14">
        <v>1</v>
      </c>
      <c r="W30" s="14">
        <v>1</v>
      </c>
      <c r="X30" s="14">
        <v>18</v>
      </c>
      <c r="Y30" s="14">
        <v>18</v>
      </c>
      <c r="Z30" s="14">
        <v>18</v>
      </c>
      <c r="AA30" s="14">
        <v>18</v>
      </c>
      <c r="AB30" s="14">
        <v>18</v>
      </c>
      <c r="AC30" s="14">
        <v>18</v>
      </c>
      <c r="AD30" s="14">
        <v>18</v>
      </c>
      <c r="AF30" s="14">
        <v>30</v>
      </c>
    </row>
    <row r="31" spans="1:33" x14ac:dyDescent="0.25">
      <c r="A31" s="3" t="s">
        <v>308</v>
      </c>
      <c r="B31" s="4"/>
      <c r="C31" s="4">
        <v>388</v>
      </c>
      <c r="D31" s="14">
        <v>9</v>
      </c>
      <c r="E31" s="14">
        <v>9</v>
      </c>
      <c r="F31" s="14">
        <v>9</v>
      </c>
      <c r="G31" s="14">
        <v>9</v>
      </c>
      <c r="H31" s="14">
        <v>9</v>
      </c>
      <c r="I31" s="14">
        <v>9</v>
      </c>
      <c r="J31" s="14">
        <v>9</v>
      </c>
      <c r="K31" s="14">
        <v>9</v>
      </c>
      <c r="L31" s="14">
        <v>9</v>
      </c>
      <c r="M31" s="14">
        <v>9</v>
      </c>
      <c r="N31" s="14">
        <v>9</v>
      </c>
      <c r="O31" s="14">
        <v>9</v>
      </c>
      <c r="P31" s="14">
        <v>9</v>
      </c>
      <c r="Q31" s="14">
        <v>9</v>
      </c>
      <c r="R31" s="14">
        <v>9</v>
      </c>
      <c r="S31" s="14">
        <v>9</v>
      </c>
      <c r="T31" s="14">
        <v>9</v>
      </c>
      <c r="U31" s="14">
        <v>9</v>
      </c>
      <c r="V31" s="14">
        <v>9</v>
      </c>
      <c r="W31" s="14">
        <v>9</v>
      </c>
      <c r="X31" s="14">
        <f t="shared" ref="X31:AD31" si="7">48+17+17+5</f>
        <v>87</v>
      </c>
      <c r="Y31" s="14">
        <f t="shared" si="7"/>
        <v>87</v>
      </c>
      <c r="Z31" s="14">
        <f t="shared" si="7"/>
        <v>87</v>
      </c>
      <c r="AA31" s="14">
        <f t="shared" si="7"/>
        <v>87</v>
      </c>
      <c r="AB31" s="14">
        <f t="shared" si="7"/>
        <v>87</v>
      </c>
      <c r="AC31" s="14">
        <f t="shared" si="7"/>
        <v>87</v>
      </c>
      <c r="AD31" s="14">
        <f t="shared" si="7"/>
        <v>87</v>
      </c>
      <c r="AF31" s="14">
        <v>196</v>
      </c>
    </row>
    <row r="32" spans="1:33" x14ac:dyDescent="0.25">
      <c r="A32" s="3" t="s">
        <v>23</v>
      </c>
      <c r="B32" s="4"/>
      <c r="C32" s="4">
        <v>46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>
        <v>6</v>
      </c>
      <c r="Y32" s="14">
        <v>6</v>
      </c>
      <c r="Z32" s="14">
        <v>6</v>
      </c>
      <c r="AA32" s="14">
        <v>6</v>
      </c>
      <c r="AB32" s="14">
        <v>6</v>
      </c>
      <c r="AC32" s="14">
        <v>6</v>
      </c>
      <c r="AD32" s="14">
        <v>6</v>
      </c>
      <c r="AF32" s="14">
        <v>15</v>
      </c>
    </row>
    <row r="33" spans="1:32" x14ac:dyDescent="0.25">
      <c r="A33" s="3" t="s">
        <v>219</v>
      </c>
      <c r="B33" s="4"/>
      <c r="C33" s="4"/>
      <c r="D33" s="14">
        <v>3</v>
      </c>
      <c r="E33" s="14">
        <v>3</v>
      </c>
      <c r="F33" s="14">
        <v>3</v>
      </c>
      <c r="G33" s="14">
        <v>3</v>
      </c>
      <c r="H33" s="14">
        <v>3</v>
      </c>
      <c r="I33" s="14">
        <v>3</v>
      </c>
      <c r="J33" s="14">
        <v>3</v>
      </c>
      <c r="K33" s="14">
        <v>3</v>
      </c>
      <c r="L33" s="14">
        <v>3</v>
      </c>
      <c r="M33" s="14">
        <v>3</v>
      </c>
      <c r="N33" s="14">
        <v>3</v>
      </c>
      <c r="O33" s="14">
        <v>3</v>
      </c>
      <c r="P33" s="14">
        <v>3</v>
      </c>
      <c r="Q33" s="14">
        <v>3</v>
      </c>
      <c r="R33" s="14">
        <v>3</v>
      </c>
      <c r="S33" s="14">
        <v>3</v>
      </c>
      <c r="T33" s="14">
        <v>3</v>
      </c>
      <c r="U33" s="14">
        <v>3</v>
      </c>
      <c r="V33" s="14">
        <v>3</v>
      </c>
      <c r="W33" s="14">
        <v>3</v>
      </c>
      <c r="X33" s="14">
        <v>69</v>
      </c>
      <c r="Y33" s="14">
        <v>69</v>
      </c>
      <c r="Z33" s="14">
        <v>69</v>
      </c>
      <c r="AA33" s="14">
        <v>69</v>
      </c>
      <c r="AB33" s="14">
        <v>69</v>
      </c>
      <c r="AC33" s="14">
        <v>69</v>
      </c>
      <c r="AD33" s="14">
        <v>69</v>
      </c>
      <c r="AF33" s="14">
        <f>69+19</f>
        <v>88</v>
      </c>
    </row>
    <row r="34" spans="1:32" x14ac:dyDescent="0.25">
      <c r="A34" s="3" t="s">
        <v>134</v>
      </c>
      <c r="B34" s="4"/>
      <c r="C34" s="4">
        <v>717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>
        <v>350</v>
      </c>
      <c r="Y34" s="14">
        <v>350</v>
      </c>
      <c r="Z34" s="14">
        <v>350</v>
      </c>
      <c r="AA34" s="14">
        <v>350</v>
      </c>
      <c r="AB34" s="14">
        <v>350</v>
      </c>
      <c r="AC34" s="14">
        <v>350</v>
      </c>
      <c r="AD34" s="14">
        <v>350</v>
      </c>
      <c r="AF34" s="14"/>
    </row>
    <row r="35" spans="1:32" x14ac:dyDescent="0.25">
      <c r="A35" s="12" t="s">
        <v>24</v>
      </c>
      <c r="B35" s="2"/>
      <c r="C35" s="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F35" s="13"/>
    </row>
    <row r="36" spans="1:32" x14ac:dyDescent="0.25">
      <c r="A36" s="3" t="s">
        <v>18</v>
      </c>
      <c r="B36" s="4"/>
      <c r="C36" s="4">
        <v>232</v>
      </c>
      <c r="D36" s="14">
        <v>5</v>
      </c>
      <c r="E36" s="14">
        <v>5</v>
      </c>
      <c r="F36" s="14">
        <v>5</v>
      </c>
      <c r="G36" s="14">
        <v>5</v>
      </c>
      <c r="H36" s="14">
        <v>5</v>
      </c>
      <c r="I36" s="14">
        <v>5</v>
      </c>
      <c r="J36" s="14">
        <v>5</v>
      </c>
      <c r="K36" s="14">
        <v>5</v>
      </c>
      <c r="L36" s="14">
        <v>5</v>
      </c>
      <c r="M36" s="14">
        <v>5</v>
      </c>
      <c r="N36" s="14">
        <v>5</v>
      </c>
      <c r="O36" s="14">
        <v>5</v>
      </c>
      <c r="P36" s="14">
        <v>5</v>
      </c>
      <c r="Q36" s="14">
        <v>5</v>
      </c>
      <c r="R36" s="14">
        <v>5</v>
      </c>
      <c r="S36" s="14">
        <v>5</v>
      </c>
      <c r="T36" s="14">
        <f>42+5+5+3+1+5</f>
        <v>61</v>
      </c>
      <c r="U36" s="14">
        <f>50+8+6+3+2+5</f>
        <v>74</v>
      </c>
      <c r="V36" s="14">
        <f>50+8+6+3+2+5</f>
        <v>74</v>
      </c>
      <c r="W36" s="14">
        <f>50+8+6+3+2+5</f>
        <v>74</v>
      </c>
      <c r="X36" s="14"/>
      <c r="Y36" s="14"/>
      <c r="Z36" s="14">
        <f>100+18+10+6+4+8+1+5+1+1</f>
        <v>154</v>
      </c>
      <c r="AA36" s="14">
        <f>100+18+10+6+4+8+1+5+1+1</f>
        <v>154</v>
      </c>
      <c r="AB36" s="14">
        <f>100+18+10+6+4+8+1+5+1+1</f>
        <v>154</v>
      </c>
      <c r="AC36" s="14">
        <f>100+18+10+10+6+4+8+1+22+2+1+2+2+1+1</f>
        <v>188</v>
      </c>
      <c r="AD36" s="14">
        <f>100+18+10+10+6+4+8+1+22+2+1+2+2+1+1</f>
        <v>188</v>
      </c>
      <c r="AF36" s="14">
        <f>100+18+10+10+6+4+8+1+22+2+1+2+2+1+1</f>
        <v>188</v>
      </c>
    </row>
    <row r="37" spans="1:32" x14ac:dyDescent="0.25">
      <c r="A37" s="3" t="s">
        <v>19</v>
      </c>
      <c r="B37" s="4"/>
      <c r="C37" s="4">
        <v>194</v>
      </c>
      <c r="D37" s="14">
        <v>1</v>
      </c>
      <c r="E37" s="14">
        <v>1</v>
      </c>
      <c r="F37" s="14">
        <v>1</v>
      </c>
      <c r="G37" s="14">
        <v>1</v>
      </c>
      <c r="H37" s="14">
        <v>1</v>
      </c>
      <c r="I37" s="14">
        <v>1</v>
      </c>
      <c r="J37" s="14">
        <v>1</v>
      </c>
      <c r="K37" s="14">
        <v>1</v>
      </c>
      <c r="L37" s="14">
        <v>1</v>
      </c>
      <c r="M37" s="14">
        <v>1</v>
      </c>
      <c r="N37" s="14">
        <v>1</v>
      </c>
      <c r="O37" s="14">
        <v>1</v>
      </c>
      <c r="P37" s="14">
        <v>1</v>
      </c>
      <c r="Q37" s="14">
        <v>1</v>
      </c>
      <c r="R37" s="14">
        <v>1</v>
      </c>
      <c r="S37" s="14">
        <v>1</v>
      </c>
      <c r="T37" s="14">
        <f>22+3+18+2+9</f>
        <v>54</v>
      </c>
      <c r="U37" s="14">
        <f>22+3+1+19+5+11</f>
        <v>61</v>
      </c>
      <c r="V37" s="14">
        <f>22+3+1+19+5+11</f>
        <v>61</v>
      </c>
      <c r="W37" s="14">
        <f>22+3+1+19+5+11</f>
        <v>61</v>
      </c>
      <c r="X37" s="14"/>
      <c r="Y37" s="14"/>
      <c r="Z37" s="14">
        <f>37+9+1+48+14+26+3+1+1+1+1</f>
        <v>142</v>
      </c>
      <c r="AA37" s="14">
        <f>37+9+1+48+14+26+3+1+1+1+1</f>
        <v>142</v>
      </c>
      <c r="AB37" s="14">
        <f>37+9+1+48+14+26+3+1+1+1+1</f>
        <v>142</v>
      </c>
      <c r="AC37" s="14">
        <f>36+9+1+53+14+25+6+1+9+7+3+1</f>
        <v>165</v>
      </c>
      <c r="AD37" s="14">
        <f>36+9+1+53+14+25+6+1+9+7+3+1</f>
        <v>165</v>
      </c>
      <c r="AF37" s="14">
        <f>36+9+1+53+14+25+6+1+9+7+3+1</f>
        <v>165</v>
      </c>
    </row>
    <row r="38" spans="1:32" x14ac:dyDescent="0.25">
      <c r="A38" s="3" t="s">
        <v>20</v>
      </c>
      <c r="B38" s="4"/>
      <c r="C38" s="4">
        <v>277</v>
      </c>
      <c r="D38" s="14">
        <v>11</v>
      </c>
      <c r="E38" s="14">
        <v>11</v>
      </c>
      <c r="F38" s="14">
        <v>11</v>
      </c>
      <c r="G38" s="14">
        <v>11</v>
      </c>
      <c r="H38" s="14">
        <v>11</v>
      </c>
      <c r="I38" s="14">
        <v>11</v>
      </c>
      <c r="J38" s="14">
        <v>11</v>
      </c>
      <c r="K38" s="14">
        <v>11</v>
      </c>
      <c r="L38" s="14">
        <v>11</v>
      </c>
      <c r="M38" s="14">
        <v>11</v>
      </c>
      <c r="N38" s="14">
        <v>11</v>
      </c>
      <c r="O38" s="14">
        <v>11</v>
      </c>
      <c r="P38" s="14">
        <v>11</v>
      </c>
      <c r="Q38" s="14">
        <v>11</v>
      </c>
      <c r="R38" s="14">
        <v>11</v>
      </c>
      <c r="S38" s="14">
        <v>11</v>
      </c>
      <c r="T38" s="14">
        <f>37+8+3+16+7+4</f>
        <v>75</v>
      </c>
      <c r="U38" s="14">
        <f>40+8+3+16+7+4</f>
        <v>78</v>
      </c>
      <c r="V38" s="14">
        <f>40+8+3+16+7+4</f>
        <v>78</v>
      </c>
      <c r="W38" s="14">
        <f>40+8+3+16+7+4</f>
        <v>78</v>
      </c>
      <c r="X38" s="14"/>
      <c r="Y38" s="14"/>
      <c r="Z38" s="14">
        <f>88+19+7+28+20+12+7+2+1+2+1</f>
        <v>187</v>
      </c>
      <c r="AA38" s="14">
        <f>88+19+7+28+20+12+7+2+1+2+1</f>
        <v>187</v>
      </c>
      <c r="AB38" s="14">
        <f>88+19+7+28+20+12+7+2+1+2+1</f>
        <v>187</v>
      </c>
      <c r="AC38" s="14">
        <f>86+18+7+28+20+13+17+9+4+10</f>
        <v>212</v>
      </c>
      <c r="AD38" s="14">
        <f>86+18+7+28+20+13+17+9+4+10</f>
        <v>212</v>
      </c>
      <c r="AF38" s="14">
        <f>86+18+7+28+20+13+17+9+4+10</f>
        <v>212</v>
      </c>
    </row>
    <row r="39" spans="1:32" x14ac:dyDescent="0.25">
      <c r="A39" s="3" t="s">
        <v>117</v>
      </c>
      <c r="B39" s="4"/>
      <c r="C39" s="4">
        <v>76</v>
      </c>
      <c r="D39" s="14">
        <v>2</v>
      </c>
      <c r="E39" s="14">
        <v>2</v>
      </c>
      <c r="F39" s="14">
        <v>2</v>
      </c>
      <c r="G39" s="14">
        <v>2</v>
      </c>
      <c r="H39" s="14">
        <v>2</v>
      </c>
      <c r="I39" s="14">
        <v>2</v>
      </c>
      <c r="J39" s="14">
        <v>2</v>
      </c>
      <c r="K39" s="14">
        <v>2</v>
      </c>
      <c r="L39" s="14">
        <v>2</v>
      </c>
      <c r="M39" s="14">
        <v>2</v>
      </c>
      <c r="N39" s="14">
        <v>2</v>
      </c>
      <c r="O39" s="14">
        <v>2</v>
      </c>
      <c r="P39" s="14">
        <v>2</v>
      </c>
      <c r="Q39" s="14">
        <v>2</v>
      </c>
      <c r="R39" s="14">
        <v>2</v>
      </c>
      <c r="S39" s="14">
        <v>2</v>
      </c>
      <c r="T39" s="14">
        <f>9+3+2+2</f>
        <v>16</v>
      </c>
      <c r="U39" s="14">
        <f>10+4+2+2</f>
        <v>18</v>
      </c>
      <c r="V39" s="14">
        <f>10+4+2+2</f>
        <v>18</v>
      </c>
      <c r="W39" s="14">
        <f>10+4+2+2</f>
        <v>18</v>
      </c>
      <c r="X39" s="14"/>
      <c r="Y39" s="14"/>
      <c r="Z39" s="14">
        <f>20+3+11+3+3+6+1+3+1</f>
        <v>51</v>
      </c>
      <c r="AA39" s="14">
        <f>20+3+11+3+3+6+1+3+1</f>
        <v>51</v>
      </c>
      <c r="AB39" s="14">
        <f>20+3+11+3+3+6+1+3+1</f>
        <v>51</v>
      </c>
      <c r="AC39" s="14">
        <f>18+3+11+3+4+10+1+4+2+3</f>
        <v>59</v>
      </c>
      <c r="AD39" s="14">
        <f>18+3+11+3+4+10+1+4+2+3</f>
        <v>59</v>
      </c>
      <c r="AF39" s="14">
        <f>18+3+11+3+4+10+1+4+2+3</f>
        <v>59</v>
      </c>
    </row>
    <row r="40" spans="1:32" x14ac:dyDescent="0.25">
      <c r="A40" s="15" t="s">
        <v>194</v>
      </c>
      <c r="B40" s="7"/>
      <c r="C40" s="7">
        <v>385</v>
      </c>
      <c r="T40">
        <f>4+3+6+2</f>
        <v>15</v>
      </c>
      <c r="U40">
        <f>7+3+6+3</f>
        <v>19</v>
      </c>
      <c r="V40">
        <f>7+3+6+3</f>
        <v>19</v>
      </c>
      <c r="W40">
        <f>7+3+6+3</f>
        <v>19</v>
      </c>
      <c r="Z40">
        <f>18+4+11+7+26</f>
        <v>66</v>
      </c>
      <c r="AA40">
        <f>18+4+11+7+26</f>
        <v>66</v>
      </c>
      <c r="AB40">
        <f>18+4+11+7+26</f>
        <v>66</v>
      </c>
      <c r="AC40">
        <f>44+17+4+25+16+63</f>
        <v>169</v>
      </c>
      <c r="AD40">
        <f>44+17+4+25+16+63</f>
        <v>169</v>
      </c>
      <c r="AF40">
        <f>44+17+4+25+16+63</f>
        <v>169</v>
      </c>
    </row>
    <row r="41" spans="1:32" x14ac:dyDescent="0.25">
      <c r="A41" s="11"/>
      <c r="B41" s="7"/>
      <c r="C41" s="7"/>
    </row>
  </sheetData>
  <pageMargins left="0.7" right="0.7" top="0.75" bottom="0.75" header="0.3" footer="0.3"/>
  <pageSetup paperSize="9" orientation="portrait" horizontalDpi="4294967293" verticalDpi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3"/>
  <sheetViews>
    <sheetView workbookViewId="0">
      <selection sqref="A1:J1048576"/>
    </sheetView>
  </sheetViews>
  <sheetFormatPr defaultColWidth="8.7109375" defaultRowHeight="15" x14ac:dyDescent="0.25"/>
  <cols>
    <col min="1" max="1" width="3.28515625" customWidth="1"/>
    <col min="2" max="2" width="17.7109375" customWidth="1"/>
    <col min="3" max="3" width="24.7109375" customWidth="1"/>
    <col min="4" max="4" width="11.42578125" style="56" bestFit="1" customWidth="1"/>
    <col min="5" max="5" width="13.7109375" style="56" customWidth="1"/>
    <col min="6" max="6" width="14.28515625" customWidth="1"/>
    <col min="7" max="7" width="12.7109375" bestFit="1" customWidth="1"/>
    <col min="8" max="8" width="13.42578125" bestFit="1" customWidth="1"/>
    <col min="9" max="9" width="8.7109375" style="56"/>
  </cols>
  <sheetData>
    <row r="1" spans="1:10" x14ac:dyDescent="0.25">
      <c r="A1" s="20"/>
      <c r="B1" s="21"/>
      <c r="C1" s="22" t="s">
        <v>27</v>
      </c>
      <c r="D1" s="104" t="s">
        <v>28</v>
      </c>
      <c r="E1" s="104"/>
      <c r="F1" s="23" t="s">
        <v>29</v>
      </c>
      <c r="G1" s="24" t="s">
        <v>30</v>
      </c>
      <c r="H1" s="25" t="s">
        <v>114</v>
      </c>
      <c r="I1" s="110"/>
    </row>
    <row r="2" spans="1:10" x14ac:dyDescent="0.25">
      <c r="A2" s="80" t="s">
        <v>63</v>
      </c>
      <c r="B2" s="81"/>
      <c r="C2" s="51">
        <f>F99+G99+H99</f>
        <v>484650</v>
      </c>
      <c r="D2" s="105" t="s">
        <v>113</v>
      </c>
      <c r="E2" s="78">
        <v>482000</v>
      </c>
      <c r="F2" s="70" t="s">
        <v>111</v>
      </c>
      <c r="G2" s="71">
        <f>C4-C2</f>
        <v>-2650</v>
      </c>
      <c r="H2" s="111"/>
      <c r="I2" s="111"/>
      <c r="J2" t="s">
        <v>141</v>
      </c>
    </row>
    <row r="3" spans="1:10" x14ac:dyDescent="0.25">
      <c r="A3" s="72"/>
      <c r="B3" s="73"/>
      <c r="C3" s="74"/>
      <c r="D3" s="106"/>
      <c r="E3" s="106"/>
      <c r="F3" s="75"/>
      <c r="G3" s="76"/>
      <c r="H3" s="77"/>
      <c r="I3" s="112"/>
      <c r="J3" s="89">
        <f>J171</f>
        <v>0</v>
      </c>
    </row>
    <row r="4" spans="1:10" x14ac:dyDescent="0.25">
      <c r="A4" s="68" t="s">
        <v>110</v>
      </c>
      <c r="B4" s="67"/>
      <c r="C4" s="116">
        <f>F4+G4+H4</f>
        <v>482000</v>
      </c>
      <c r="D4" s="117"/>
      <c r="E4" s="117"/>
      <c r="F4" s="116">
        <f>12000+5000</f>
        <v>17000</v>
      </c>
      <c r="G4" s="116">
        <v>450000</v>
      </c>
      <c r="H4" s="116">
        <v>15000</v>
      </c>
      <c r="I4" s="113" t="s">
        <v>225</v>
      </c>
      <c r="J4" t="s">
        <v>140</v>
      </c>
    </row>
    <row r="5" spans="1:10" x14ac:dyDescent="0.25">
      <c r="A5" s="27"/>
      <c r="B5" s="28"/>
      <c r="C5" s="29"/>
      <c r="D5" s="107"/>
      <c r="E5" s="107"/>
      <c r="F5" s="30"/>
      <c r="G5" s="31"/>
      <c r="H5" s="32"/>
      <c r="I5" s="6" t="s">
        <v>221</v>
      </c>
    </row>
    <row r="6" spans="1:10" x14ac:dyDescent="0.25">
      <c r="A6" s="34">
        <v>1</v>
      </c>
      <c r="B6" s="33" t="s">
        <v>33</v>
      </c>
      <c r="C6" s="83" t="s">
        <v>40</v>
      </c>
      <c r="D6" s="56" t="s">
        <v>222</v>
      </c>
      <c r="E6" s="56" t="s">
        <v>226</v>
      </c>
      <c r="F6" s="125"/>
      <c r="G6" s="132">
        <v>32000</v>
      </c>
      <c r="H6" s="125"/>
      <c r="I6" s="114">
        <v>45</v>
      </c>
      <c r="J6">
        <v>6</v>
      </c>
    </row>
    <row r="7" spans="1:10" x14ac:dyDescent="0.25">
      <c r="A7" s="34">
        <v>2</v>
      </c>
      <c r="B7" s="33" t="s">
        <v>33</v>
      </c>
      <c r="C7" s="29" t="s">
        <v>32</v>
      </c>
      <c r="D7" s="108">
        <v>15</v>
      </c>
      <c r="E7" s="56" t="s">
        <v>227</v>
      </c>
      <c r="F7" s="125">
        <f>1995+2000</f>
        <v>3995</v>
      </c>
      <c r="G7" s="132">
        <v>25600</v>
      </c>
      <c r="H7" s="125"/>
      <c r="I7" s="56">
        <v>-40</v>
      </c>
      <c r="J7">
        <v>6</v>
      </c>
    </row>
    <row r="8" spans="1:10" x14ac:dyDescent="0.25">
      <c r="A8" s="34">
        <v>3</v>
      </c>
      <c r="B8" s="33" t="s">
        <v>33</v>
      </c>
      <c r="C8" s="83" t="s">
        <v>37</v>
      </c>
      <c r="D8" s="56" t="s">
        <v>223</v>
      </c>
      <c r="E8" s="56" t="s">
        <v>226</v>
      </c>
      <c r="F8" s="125">
        <v>750</v>
      </c>
      <c r="G8" s="132">
        <v>25600</v>
      </c>
      <c r="H8" s="125">
        <f>1295+695</f>
        <v>1990</v>
      </c>
      <c r="I8" s="114">
        <v>8</v>
      </c>
      <c r="J8">
        <v>6</v>
      </c>
    </row>
    <row r="9" spans="1:10" x14ac:dyDescent="0.25">
      <c r="A9" s="34">
        <v>4</v>
      </c>
      <c r="B9" s="33" t="s">
        <v>33</v>
      </c>
      <c r="C9" s="83" t="s">
        <v>36</v>
      </c>
      <c r="D9" s="56">
        <v>20</v>
      </c>
      <c r="E9" s="56" t="s">
        <v>226</v>
      </c>
      <c r="F9" s="125"/>
      <c r="G9" s="132">
        <v>19200</v>
      </c>
      <c r="H9" s="125">
        <v>2395</v>
      </c>
      <c r="I9" s="56" t="s">
        <v>69</v>
      </c>
      <c r="J9">
        <v>6</v>
      </c>
    </row>
    <row r="10" spans="1:10" x14ac:dyDescent="0.25">
      <c r="A10" s="34">
        <v>5</v>
      </c>
      <c r="B10" s="33" t="s">
        <v>33</v>
      </c>
      <c r="C10" s="83" t="s">
        <v>35</v>
      </c>
      <c r="D10" s="56" t="s">
        <v>286</v>
      </c>
      <c r="E10" s="56" t="s">
        <v>228</v>
      </c>
      <c r="F10" s="125">
        <f>4995</f>
        <v>4995</v>
      </c>
      <c r="G10" s="132">
        <f>22400+10000</f>
        <v>32400</v>
      </c>
      <c r="H10" s="125"/>
      <c r="I10" s="56">
        <v>-4</v>
      </c>
      <c r="J10">
        <v>6</v>
      </c>
    </row>
    <row r="11" spans="1:10" x14ac:dyDescent="0.25">
      <c r="A11" s="34">
        <v>6</v>
      </c>
      <c r="B11" s="33" t="s">
        <v>33</v>
      </c>
      <c r="C11" s="83" t="s">
        <v>38</v>
      </c>
      <c r="D11" s="56">
        <v>98</v>
      </c>
      <c r="E11" s="56" t="s">
        <v>226</v>
      </c>
      <c r="F11" s="125"/>
      <c r="G11" s="132">
        <v>19200</v>
      </c>
      <c r="H11" s="125"/>
      <c r="I11" s="56" t="s">
        <v>69</v>
      </c>
      <c r="J11">
        <v>6</v>
      </c>
    </row>
    <row r="12" spans="1:10" x14ac:dyDescent="0.25">
      <c r="A12" s="34">
        <v>7</v>
      </c>
      <c r="B12" s="33" t="s">
        <v>33</v>
      </c>
      <c r="C12" s="83" t="s">
        <v>209</v>
      </c>
      <c r="D12" s="56">
        <v>104</v>
      </c>
      <c r="F12" s="125"/>
      <c r="G12" s="132">
        <v>17000</v>
      </c>
      <c r="H12" s="125"/>
      <c r="I12" s="56">
        <v>48</v>
      </c>
      <c r="J12">
        <v>6</v>
      </c>
    </row>
    <row r="13" spans="1:10" x14ac:dyDescent="0.25">
      <c r="A13" s="118"/>
      <c r="B13" s="118"/>
      <c r="C13" s="118" t="s">
        <v>318</v>
      </c>
      <c r="D13" s="119"/>
      <c r="E13" s="119"/>
      <c r="F13" s="126">
        <v>2250</v>
      </c>
      <c r="G13" s="118"/>
      <c r="H13" s="126"/>
      <c r="I13" s="119"/>
    </row>
    <row r="14" spans="1:10" x14ac:dyDescent="0.25">
      <c r="A14" s="34">
        <v>8</v>
      </c>
      <c r="B14" s="109" t="s">
        <v>31</v>
      </c>
      <c r="C14" s="83" t="s">
        <v>238</v>
      </c>
      <c r="D14" s="56">
        <v>46</v>
      </c>
      <c r="E14" s="56" t="s">
        <v>226</v>
      </c>
      <c r="F14" s="125">
        <v>795</v>
      </c>
      <c r="G14" s="84">
        <v>7680</v>
      </c>
      <c r="H14" s="125">
        <v>695</v>
      </c>
      <c r="I14" s="56" t="s">
        <v>69</v>
      </c>
      <c r="J14">
        <v>4</v>
      </c>
    </row>
    <row r="15" spans="1:10" x14ac:dyDescent="0.25">
      <c r="A15" s="34">
        <v>9</v>
      </c>
      <c r="B15" s="109" t="s">
        <v>31</v>
      </c>
      <c r="C15" t="s">
        <v>156</v>
      </c>
      <c r="D15" s="56">
        <v>56</v>
      </c>
      <c r="E15" s="56" t="s">
        <v>226</v>
      </c>
      <c r="F15" s="125">
        <v>1590</v>
      </c>
      <c r="G15" s="84">
        <v>5120</v>
      </c>
      <c r="H15" s="125"/>
      <c r="I15" s="114">
        <v>-4</v>
      </c>
      <c r="J15">
        <v>2</v>
      </c>
    </row>
    <row r="16" spans="1:10" x14ac:dyDescent="0.25">
      <c r="A16" s="34">
        <v>10</v>
      </c>
      <c r="B16" s="109" t="s">
        <v>31</v>
      </c>
      <c r="C16" s="83" t="s">
        <v>68</v>
      </c>
      <c r="D16" s="56">
        <v>19</v>
      </c>
      <c r="F16" s="125"/>
      <c r="G16" s="84">
        <v>9600</v>
      </c>
      <c r="H16" s="125"/>
      <c r="I16" s="56">
        <v>-30</v>
      </c>
      <c r="J16">
        <v>5</v>
      </c>
    </row>
    <row r="17" spans="1:10" x14ac:dyDescent="0.25">
      <c r="A17" s="34">
        <v>11</v>
      </c>
      <c r="B17" s="109" t="s">
        <v>31</v>
      </c>
      <c r="C17" t="s">
        <v>237</v>
      </c>
      <c r="D17" s="56">
        <v>77</v>
      </c>
      <c r="E17" s="56" t="s">
        <v>265</v>
      </c>
      <c r="F17" s="125">
        <v>1295</v>
      </c>
      <c r="G17" s="84">
        <v>3060</v>
      </c>
      <c r="H17" s="125">
        <v>695</v>
      </c>
      <c r="I17" s="56" t="s">
        <v>69</v>
      </c>
      <c r="J17">
        <v>1</v>
      </c>
    </row>
    <row r="18" spans="1:10" x14ac:dyDescent="0.25">
      <c r="A18" s="34">
        <v>12</v>
      </c>
      <c r="B18" s="109" t="s">
        <v>31</v>
      </c>
      <c r="C18" s="83" t="s">
        <v>128</v>
      </c>
      <c r="D18" s="56">
        <v>22</v>
      </c>
      <c r="F18" s="125"/>
      <c r="G18" s="84">
        <v>2040</v>
      </c>
      <c r="H18" s="125"/>
      <c r="I18" s="56" t="s">
        <v>192</v>
      </c>
      <c r="J18">
        <v>1</v>
      </c>
    </row>
    <row r="19" spans="1:10" x14ac:dyDescent="0.25">
      <c r="A19" s="34">
        <v>13</v>
      </c>
      <c r="B19" s="109" t="s">
        <v>31</v>
      </c>
      <c r="C19" s="83" t="s">
        <v>59</v>
      </c>
      <c r="D19" s="56">
        <v>96</v>
      </c>
      <c r="F19" s="125"/>
      <c r="G19" s="84">
        <v>4080</v>
      </c>
      <c r="H19" s="125"/>
      <c r="I19" s="114">
        <v>32</v>
      </c>
      <c r="J19">
        <v>2</v>
      </c>
    </row>
    <row r="20" spans="1:10" x14ac:dyDescent="0.25">
      <c r="A20" s="34">
        <v>14</v>
      </c>
      <c r="B20" s="109" t="s">
        <v>31</v>
      </c>
      <c r="C20" t="s">
        <v>233</v>
      </c>
      <c r="D20" s="56">
        <v>17</v>
      </c>
      <c r="F20" s="125">
        <v>1295</v>
      </c>
      <c r="G20" s="84">
        <v>14400</v>
      </c>
      <c r="H20" s="125">
        <v>695</v>
      </c>
      <c r="I20" s="56">
        <v>-15</v>
      </c>
      <c r="J20">
        <v>6</v>
      </c>
    </row>
    <row r="21" spans="1:10" x14ac:dyDescent="0.25">
      <c r="A21" s="34">
        <v>15</v>
      </c>
      <c r="B21" s="109" t="s">
        <v>31</v>
      </c>
      <c r="C21" t="s">
        <v>234</v>
      </c>
      <c r="D21" s="56" t="s">
        <v>240</v>
      </c>
      <c r="F21" s="125"/>
      <c r="G21" s="84">
        <v>5120</v>
      </c>
      <c r="H21" s="125"/>
      <c r="I21" s="56">
        <v>-4</v>
      </c>
      <c r="J21">
        <v>2</v>
      </c>
    </row>
    <row r="22" spans="1:10" x14ac:dyDescent="0.25">
      <c r="A22" s="34">
        <v>16</v>
      </c>
      <c r="B22" s="109" t="s">
        <v>31</v>
      </c>
      <c r="C22" t="s">
        <v>41</v>
      </c>
      <c r="D22" s="56">
        <v>100</v>
      </c>
      <c r="F22" s="125"/>
      <c r="G22" s="84">
        <v>5120</v>
      </c>
      <c r="H22" s="125"/>
      <c r="I22" s="56">
        <v>-44</v>
      </c>
      <c r="J22">
        <v>2</v>
      </c>
    </row>
    <row r="23" spans="1:10" x14ac:dyDescent="0.25">
      <c r="A23" s="34">
        <v>17</v>
      </c>
      <c r="B23" s="109" t="s">
        <v>31</v>
      </c>
      <c r="C23" t="s">
        <v>281</v>
      </c>
      <c r="D23" s="56">
        <v>91</v>
      </c>
      <c r="F23" s="125"/>
      <c r="G23" s="84">
        <v>6400</v>
      </c>
      <c r="H23" s="125"/>
      <c r="I23" s="114" t="s">
        <v>192</v>
      </c>
      <c r="J23">
        <v>3</v>
      </c>
    </row>
    <row r="24" spans="1:10" x14ac:dyDescent="0.25">
      <c r="A24" s="34">
        <v>18</v>
      </c>
      <c r="B24" s="109" t="s">
        <v>31</v>
      </c>
      <c r="C24" s="127" t="s">
        <v>232</v>
      </c>
      <c r="D24" s="128">
        <v>31</v>
      </c>
      <c r="E24" s="128" t="s">
        <v>261</v>
      </c>
      <c r="F24" s="129"/>
      <c r="G24" s="130"/>
      <c r="H24" s="129"/>
      <c r="I24" s="128" t="s">
        <v>192</v>
      </c>
    </row>
    <row r="25" spans="1:10" x14ac:dyDescent="0.25">
      <c r="A25" s="34">
        <v>19</v>
      </c>
      <c r="B25" s="109" t="s">
        <v>31</v>
      </c>
      <c r="C25" t="s">
        <v>43</v>
      </c>
      <c r="D25" s="56">
        <v>78</v>
      </c>
      <c r="F25" s="125"/>
      <c r="G25" s="84">
        <v>3060</v>
      </c>
      <c r="H25" s="125"/>
      <c r="I25" s="56">
        <v>-15</v>
      </c>
      <c r="J25">
        <v>1</v>
      </c>
    </row>
    <row r="26" spans="1:10" x14ac:dyDescent="0.25">
      <c r="A26" s="34">
        <v>20</v>
      </c>
      <c r="B26" s="109" t="s">
        <v>31</v>
      </c>
      <c r="C26" t="s">
        <v>295</v>
      </c>
      <c r="D26" s="56">
        <v>10</v>
      </c>
      <c r="F26" s="125"/>
      <c r="G26" s="84">
        <v>3060</v>
      </c>
      <c r="H26" s="125"/>
      <c r="I26" s="114">
        <v>3</v>
      </c>
      <c r="J26">
        <v>1</v>
      </c>
    </row>
    <row r="27" spans="1:10" x14ac:dyDescent="0.25">
      <c r="A27" s="34">
        <v>21</v>
      </c>
      <c r="B27" s="109" t="s">
        <v>31</v>
      </c>
      <c r="C27" t="s">
        <v>236</v>
      </c>
      <c r="D27" s="56" t="s">
        <v>239</v>
      </c>
      <c r="F27" s="125"/>
      <c r="G27" s="84">
        <v>13440</v>
      </c>
      <c r="H27" s="125"/>
      <c r="I27" s="114">
        <v>18</v>
      </c>
      <c r="J27">
        <v>6</v>
      </c>
    </row>
    <row r="28" spans="1:10" x14ac:dyDescent="0.25">
      <c r="A28" s="34">
        <v>22</v>
      </c>
      <c r="B28" s="109" t="s">
        <v>31</v>
      </c>
      <c r="C28" t="s">
        <v>280</v>
      </c>
      <c r="D28" s="56">
        <v>50</v>
      </c>
      <c r="F28" s="125"/>
      <c r="G28" s="84">
        <v>4080</v>
      </c>
      <c r="H28" s="125"/>
      <c r="I28" s="114" t="s">
        <v>192</v>
      </c>
      <c r="J28">
        <v>2</v>
      </c>
    </row>
    <row r="29" spans="1:10" x14ac:dyDescent="0.25">
      <c r="A29" s="34">
        <v>23</v>
      </c>
      <c r="B29" s="109" t="s">
        <v>31</v>
      </c>
      <c r="C29" t="s">
        <v>293</v>
      </c>
      <c r="D29" s="56">
        <v>18</v>
      </c>
      <c r="F29" s="125"/>
      <c r="G29" s="84">
        <v>7680</v>
      </c>
      <c r="H29" s="125">
        <v>295</v>
      </c>
      <c r="I29" s="114">
        <v>-12</v>
      </c>
      <c r="J29">
        <v>4</v>
      </c>
    </row>
    <row r="30" spans="1:10" x14ac:dyDescent="0.25">
      <c r="A30" s="34">
        <v>24</v>
      </c>
      <c r="B30" s="109" t="s">
        <v>31</v>
      </c>
      <c r="C30" t="s">
        <v>89</v>
      </c>
      <c r="D30" s="56" t="s">
        <v>274</v>
      </c>
      <c r="F30" s="125"/>
      <c r="G30" s="84">
        <v>3840</v>
      </c>
      <c r="H30" s="125"/>
      <c r="I30" s="114">
        <v>4</v>
      </c>
      <c r="J30">
        <v>2</v>
      </c>
    </row>
    <row r="31" spans="1:10" x14ac:dyDescent="0.25">
      <c r="A31" s="34">
        <v>25</v>
      </c>
      <c r="B31" s="109" t="s">
        <v>31</v>
      </c>
      <c r="C31" t="s">
        <v>284</v>
      </c>
      <c r="D31" s="56">
        <v>108</v>
      </c>
      <c r="F31" s="125"/>
      <c r="G31" s="84">
        <v>2040</v>
      </c>
      <c r="H31" s="125"/>
      <c r="I31" s="114" t="s">
        <v>69</v>
      </c>
      <c r="J31">
        <v>1</v>
      </c>
    </row>
    <row r="32" spans="1:10" x14ac:dyDescent="0.25">
      <c r="A32" s="34">
        <v>26</v>
      </c>
      <c r="B32" s="109" t="s">
        <v>31</v>
      </c>
      <c r="C32" t="s">
        <v>46</v>
      </c>
      <c r="D32" s="56">
        <v>90</v>
      </c>
      <c r="F32" s="125"/>
      <c r="G32" s="84">
        <v>11520</v>
      </c>
      <c r="H32" s="125"/>
      <c r="I32" s="114">
        <v>18</v>
      </c>
      <c r="J32">
        <v>6</v>
      </c>
    </row>
    <row r="33" spans="1:10" x14ac:dyDescent="0.25">
      <c r="A33" s="34">
        <v>27</v>
      </c>
      <c r="B33" s="109" t="s">
        <v>31</v>
      </c>
      <c r="C33" t="s">
        <v>230</v>
      </c>
      <c r="D33" s="56">
        <v>81</v>
      </c>
      <c r="F33" s="125"/>
      <c r="G33" s="84">
        <v>7680</v>
      </c>
      <c r="H33" s="125"/>
      <c r="I33" s="56" t="s">
        <v>69</v>
      </c>
      <c r="J33">
        <v>4</v>
      </c>
    </row>
    <row r="34" spans="1:10" x14ac:dyDescent="0.25">
      <c r="A34" s="34">
        <v>28</v>
      </c>
      <c r="B34" s="109" t="s">
        <v>31</v>
      </c>
      <c r="C34" t="s">
        <v>256</v>
      </c>
      <c r="D34" s="56">
        <v>101</v>
      </c>
      <c r="E34" s="56" t="s">
        <v>258</v>
      </c>
      <c r="F34" s="125">
        <v>595</v>
      </c>
      <c r="G34" s="84">
        <v>7680</v>
      </c>
      <c r="H34" s="63">
        <v>695</v>
      </c>
      <c r="I34" s="56" t="s">
        <v>69</v>
      </c>
      <c r="J34">
        <v>4</v>
      </c>
    </row>
    <row r="35" spans="1:10" x14ac:dyDescent="0.25">
      <c r="A35" s="34">
        <v>29</v>
      </c>
      <c r="B35" s="109" t="s">
        <v>31</v>
      </c>
      <c r="C35" t="s">
        <v>270</v>
      </c>
      <c r="D35" s="56">
        <v>64</v>
      </c>
      <c r="F35" s="125"/>
      <c r="G35" s="84">
        <v>2720</v>
      </c>
      <c r="H35" s="63"/>
      <c r="I35" s="56">
        <v>-12</v>
      </c>
      <c r="J35">
        <v>1</v>
      </c>
    </row>
    <row r="36" spans="1:10" x14ac:dyDescent="0.25">
      <c r="A36" s="34">
        <v>30</v>
      </c>
      <c r="B36" s="109" t="s">
        <v>31</v>
      </c>
      <c r="C36" t="s">
        <v>287</v>
      </c>
      <c r="D36" s="56">
        <v>29</v>
      </c>
      <c r="F36" s="125"/>
      <c r="G36" s="84">
        <v>3060</v>
      </c>
      <c r="H36" s="125">
        <v>695</v>
      </c>
      <c r="I36" s="114"/>
      <c r="J36">
        <v>1</v>
      </c>
    </row>
    <row r="37" spans="1:10" x14ac:dyDescent="0.25">
      <c r="A37" s="34">
        <v>31</v>
      </c>
      <c r="B37" s="109" t="s">
        <v>31</v>
      </c>
      <c r="C37" t="s">
        <v>55</v>
      </c>
      <c r="D37" s="56">
        <v>61</v>
      </c>
      <c r="F37" s="125"/>
      <c r="G37" s="84">
        <v>2040</v>
      </c>
      <c r="H37" s="63">
        <v>295</v>
      </c>
      <c r="I37" s="56" t="s">
        <v>69</v>
      </c>
      <c r="J37">
        <v>1</v>
      </c>
    </row>
    <row r="38" spans="1:10" x14ac:dyDescent="0.25">
      <c r="A38" s="34">
        <v>32</v>
      </c>
      <c r="B38" s="109" t="s">
        <v>31</v>
      </c>
      <c r="C38" t="s">
        <v>106</v>
      </c>
      <c r="D38" s="56" t="s">
        <v>229</v>
      </c>
      <c r="F38" s="125"/>
      <c r="G38" s="84">
        <v>10240</v>
      </c>
      <c r="H38" s="125"/>
      <c r="I38" s="56">
        <v>-8</v>
      </c>
      <c r="J38">
        <v>5</v>
      </c>
    </row>
    <row r="39" spans="1:10" x14ac:dyDescent="0.25">
      <c r="A39" s="34">
        <v>33</v>
      </c>
      <c r="B39" s="109" t="s">
        <v>31</v>
      </c>
      <c r="C39" t="s">
        <v>255</v>
      </c>
      <c r="D39" s="56">
        <v>58</v>
      </c>
      <c r="F39" s="125"/>
      <c r="G39" s="84">
        <v>2720</v>
      </c>
      <c r="H39" s="125"/>
      <c r="I39" s="56" t="s">
        <v>192</v>
      </c>
      <c r="J39">
        <v>1</v>
      </c>
    </row>
    <row r="40" spans="1:10" x14ac:dyDescent="0.25">
      <c r="A40" s="34">
        <v>34</v>
      </c>
      <c r="B40" s="109" t="s">
        <v>31</v>
      </c>
      <c r="C40" t="s">
        <v>271</v>
      </c>
      <c r="D40" s="56">
        <v>39</v>
      </c>
      <c r="F40" s="125"/>
      <c r="G40" s="84">
        <v>2040</v>
      </c>
      <c r="H40" s="125"/>
      <c r="I40" s="114">
        <v>2</v>
      </c>
      <c r="J40">
        <v>1</v>
      </c>
    </row>
    <row r="41" spans="1:10" x14ac:dyDescent="0.25">
      <c r="A41" s="34">
        <v>35</v>
      </c>
      <c r="B41" s="109" t="s">
        <v>31</v>
      </c>
      <c r="C41" t="s">
        <v>56</v>
      </c>
      <c r="D41" s="56">
        <v>80</v>
      </c>
      <c r="F41" s="125"/>
      <c r="G41" s="84">
        <v>3060</v>
      </c>
      <c r="H41" s="125"/>
      <c r="I41" s="114">
        <v>3</v>
      </c>
      <c r="J41">
        <v>1</v>
      </c>
    </row>
    <row r="42" spans="1:10" x14ac:dyDescent="0.25">
      <c r="A42" s="34">
        <v>36</v>
      </c>
      <c r="B42" s="109" t="s">
        <v>31</v>
      </c>
      <c r="C42" t="s">
        <v>291</v>
      </c>
      <c r="D42" s="56">
        <v>112</v>
      </c>
      <c r="F42" s="125"/>
      <c r="G42" s="84">
        <v>7680</v>
      </c>
      <c r="H42" s="125"/>
      <c r="I42" s="114" t="s">
        <v>69</v>
      </c>
      <c r="J42">
        <v>4</v>
      </c>
    </row>
    <row r="43" spans="1:10" x14ac:dyDescent="0.25">
      <c r="A43" s="34">
        <v>37</v>
      </c>
      <c r="B43" s="109" t="s">
        <v>31</v>
      </c>
      <c r="C43" t="s">
        <v>257</v>
      </c>
      <c r="D43" s="56">
        <v>47</v>
      </c>
      <c r="F43" s="125"/>
      <c r="G43" s="84">
        <v>4080</v>
      </c>
      <c r="H43" s="125">
        <v>895</v>
      </c>
      <c r="I43" s="56" t="s">
        <v>69</v>
      </c>
      <c r="J43">
        <v>2</v>
      </c>
    </row>
    <row r="44" spans="1:10" x14ac:dyDescent="0.25">
      <c r="A44" s="34">
        <v>38</v>
      </c>
      <c r="B44" s="109" t="s">
        <v>31</v>
      </c>
      <c r="C44" t="s">
        <v>95</v>
      </c>
      <c r="D44" s="56">
        <v>59</v>
      </c>
      <c r="F44" s="125"/>
      <c r="G44" s="84">
        <v>2040</v>
      </c>
      <c r="H44" s="125"/>
      <c r="I44" s="114">
        <v>-2</v>
      </c>
      <c r="J44">
        <v>1</v>
      </c>
    </row>
    <row r="45" spans="1:10" x14ac:dyDescent="0.25">
      <c r="A45" s="34">
        <v>39</v>
      </c>
      <c r="B45" s="109" t="s">
        <v>31</v>
      </c>
      <c r="C45" t="s">
        <v>282</v>
      </c>
      <c r="D45" s="56">
        <v>107</v>
      </c>
      <c r="F45" s="125"/>
      <c r="G45" s="84">
        <v>1900</v>
      </c>
      <c r="H45" s="125"/>
      <c r="I45" s="114" t="s">
        <v>283</v>
      </c>
      <c r="J45">
        <v>1</v>
      </c>
    </row>
    <row r="46" spans="1:10" x14ac:dyDescent="0.25">
      <c r="A46" s="34">
        <v>40</v>
      </c>
      <c r="B46" s="109" t="s">
        <v>31</v>
      </c>
      <c r="C46" t="s">
        <v>171</v>
      </c>
      <c r="D46" s="56">
        <v>62</v>
      </c>
      <c r="F46" s="125"/>
      <c r="G46" s="84">
        <v>2040</v>
      </c>
      <c r="H46" s="125"/>
      <c r="I46" s="114" t="s">
        <v>69</v>
      </c>
      <c r="J46">
        <v>1</v>
      </c>
    </row>
    <row r="47" spans="1:10" ht="15.75" customHeight="1" x14ac:dyDescent="0.25">
      <c r="A47" s="34">
        <v>41</v>
      </c>
      <c r="B47" s="109" t="s">
        <v>31</v>
      </c>
      <c r="C47" t="s">
        <v>312</v>
      </c>
      <c r="D47" s="56">
        <v>93</v>
      </c>
      <c r="F47" s="125"/>
      <c r="G47" s="84">
        <v>2040</v>
      </c>
      <c r="H47" s="125"/>
      <c r="I47" s="114"/>
      <c r="J47">
        <v>1</v>
      </c>
    </row>
    <row r="48" spans="1:10" x14ac:dyDescent="0.25">
      <c r="A48" s="34">
        <v>42</v>
      </c>
      <c r="B48" s="109" t="s">
        <v>31</v>
      </c>
      <c r="C48" t="s">
        <v>275</v>
      </c>
      <c r="F48" s="125"/>
      <c r="G48" s="84">
        <v>2040</v>
      </c>
      <c r="H48" s="125"/>
      <c r="I48" s="114"/>
      <c r="J48">
        <v>1</v>
      </c>
    </row>
    <row r="49" spans="1:10" x14ac:dyDescent="0.25">
      <c r="A49" s="34">
        <v>43</v>
      </c>
      <c r="B49" s="109" t="s">
        <v>31</v>
      </c>
      <c r="C49" t="s">
        <v>262</v>
      </c>
      <c r="D49" s="56">
        <v>30</v>
      </c>
      <c r="F49" s="125"/>
      <c r="G49" s="84">
        <v>9600</v>
      </c>
      <c r="H49" s="125"/>
      <c r="I49" s="114">
        <v>6</v>
      </c>
      <c r="J49">
        <v>5</v>
      </c>
    </row>
    <row r="50" spans="1:10" x14ac:dyDescent="0.25">
      <c r="A50" s="34">
        <v>44</v>
      </c>
      <c r="B50" s="109" t="s">
        <v>31</v>
      </c>
      <c r="C50" t="s">
        <v>235</v>
      </c>
      <c r="D50" s="56">
        <v>28</v>
      </c>
      <c r="F50" s="125"/>
      <c r="G50" s="84">
        <v>3060</v>
      </c>
      <c r="H50" s="125"/>
      <c r="I50" s="56">
        <v>-4</v>
      </c>
      <c r="J50">
        <v>1</v>
      </c>
    </row>
    <row r="51" spans="1:10" x14ac:dyDescent="0.25">
      <c r="A51" s="34">
        <v>45</v>
      </c>
      <c r="B51" s="109" t="s">
        <v>31</v>
      </c>
      <c r="C51" t="s">
        <v>272</v>
      </c>
      <c r="D51" s="56">
        <v>21</v>
      </c>
      <c r="F51" s="125"/>
      <c r="G51" s="84">
        <v>2040</v>
      </c>
      <c r="H51" s="125"/>
      <c r="I51" s="56" t="s">
        <v>192</v>
      </c>
      <c r="J51">
        <v>1</v>
      </c>
    </row>
    <row r="52" spans="1:10" x14ac:dyDescent="0.25">
      <c r="A52" s="34">
        <v>46</v>
      </c>
      <c r="B52" s="109" t="s">
        <v>31</v>
      </c>
      <c r="C52" t="s">
        <v>39</v>
      </c>
      <c r="D52" s="56">
        <v>103</v>
      </c>
      <c r="F52" s="125"/>
      <c r="G52" s="84">
        <v>5440</v>
      </c>
      <c r="H52" s="125"/>
      <c r="I52" s="56">
        <v>4</v>
      </c>
      <c r="J52">
        <v>2</v>
      </c>
    </row>
    <row r="53" spans="1:10" x14ac:dyDescent="0.25">
      <c r="A53" s="34">
        <v>47</v>
      </c>
      <c r="B53" s="109" t="s">
        <v>31</v>
      </c>
      <c r="C53" t="s">
        <v>278</v>
      </c>
      <c r="D53" s="56">
        <v>102</v>
      </c>
      <c r="F53" s="125"/>
      <c r="G53" s="84">
        <v>8160</v>
      </c>
      <c r="H53" s="125"/>
      <c r="I53" s="114">
        <v>12</v>
      </c>
      <c r="J53">
        <v>4</v>
      </c>
    </row>
    <row r="54" spans="1:10" x14ac:dyDescent="0.25">
      <c r="A54" s="34">
        <v>48</v>
      </c>
      <c r="B54" s="109" t="s">
        <v>31</v>
      </c>
      <c r="C54" s="61" t="s">
        <v>263</v>
      </c>
      <c r="D54" s="133">
        <v>3</v>
      </c>
      <c r="E54" s="133" t="s">
        <v>294</v>
      </c>
      <c r="F54" s="125"/>
      <c r="G54" s="84"/>
      <c r="H54" s="125"/>
      <c r="I54" s="114"/>
    </row>
    <row r="55" spans="1:10" x14ac:dyDescent="0.25">
      <c r="A55" s="34">
        <v>49</v>
      </c>
      <c r="B55" s="109" t="s">
        <v>31</v>
      </c>
      <c r="C55" t="s">
        <v>290</v>
      </c>
      <c r="D55" s="56">
        <v>23</v>
      </c>
      <c r="E55" s="56" t="s">
        <v>277</v>
      </c>
      <c r="F55" s="125">
        <v>1590</v>
      </c>
      <c r="G55" s="84">
        <v>2040</v>
      </c>
      <c r="H55" s="125"/>
      <c r="I55" s="56" t="s">
        <v>192</v>
      </c>
      <c r="J55">
        <v>1</v>
      </c>
    </row>
    <row r="56" spans="1:10" x14ac:dyDescent="0.25">
      <c r="A56" s="34">
        <v>50</v>
      </c>
      <c r="B56" s="109" t="s">
        <v>31</v>
      </c>
      <c r="C56" t="s">
        <v>279</v>
      </c>
      <c r="D56" s="56">
        <v>66</v>
      </c>
      <c r="F56" s="125"/>
      <c r="G56" s="84">
        <v>2040</v>
      </c>
      <c r="H56" s="125"/>
      <c r="I56" s="114">
        <v>-2</v>
      </c>
      <c r="J56">
        <v>1</v>
      </c>
    </row>
    <row r="57" spans="1:10" x14ac:dyDescent="0.25">
      <c r="A57" s="34">
        <v>51</v>
      </c>
      <c r="B57" s="109" t="s">
        <v>31</v>
      </c>
      <c r="C57" t="s">
        <v>264</v>
      </c>
      <c r="D57" s="56">
        <v>63</v>
      </c>
      <c r="F57" s="125"/>
      <c r="G57" s="84">
        <v>2720</v>
      </c>
      <c r="H57" s="125"/>
      <c r="I57" s="114" t="s">
        <v>69</v>
      </c>
      <c r="J57">
        <v>1</v>
      </c>
    </row>
    <row r="58" spans="1:10" x14ac:dyDescent="0.25">
      <c r="A58" s="34">
        <v>52</v>
      </c>
      <c r="B58" s="109" t="s">
        <v>31</v>
      </c>
      <c r="C58" t="s">
        <v>99</v>
      </c>
      <c r="F58" s="125"/>
      <c r="G58" s="84">
        <v>6400</v>
      </c>
      <c r="H58" s="125"/>
      <c r="I58" s="114">
        <v>4</v>
      </c>
      <c r="J58">
        <v>3</v>
      </c>
    </row>
    <row r="59" spans="1:10" x14ac:dyDescent="0.25">
      <c r="A59" s="34">
        <v>53</v>
      </c>
      <c r="B59" s="109" t="s">
        <v>31</v>
      </c>
      <c r="C59" t="s">
        <v>285</v>
      </c>
      <c r="D59" s="56">
        <v>51</v>
      </c>
      <c r="F59" s="125"/>
      <c r="G59" s="84">
        <v>5440</v>
      </c>
      <c r="H59" s="125"/>
      <c r="I59" s="114" t="s">
        <v>69</v>
      </c>
      <c r="J59">
        <v>2</v>
      </c>
    </row>
    <row r="60" spans="1:10" x14ac:dyDescent="0.25">
      <c r="A60" s="34">
        <v>54</v>
      </c>
      <c r="B60" s="109" t="s">
        <v>31</v>
      </c>
      <c r="C60" t="s">
        <v>273</v>
      </c>
      <c r="F60" s="125"/>
      <c r="G60" s="84">
        <v>4080</v>
      </c>
      <c r="H60" s="125"/>
      <c r="I60" s="114">
        <v>4</v>
      </c>
      <c r="J60">
        <v>2</v>
      </c>
    </row>
    <row r="61" spans="1:10" x14ac:dyDescent="0.25">
      <c r="A61" s="34">
        <v>55</v>
      </c>
      <c r="B61" s="109" t="s">
        <v>31</v>
      </c>
      <c r="C61" t="s">
        <v>124</v>
      </c>
      <c r="D61" s="56" t="s">
        <v>292</v>
      </c>
      <c r="F61" s="125"/>
      <c r="G61" s="84">
        <v>2170</v>
      </c>
      <c r="H61" s="125"/>
      <c r="I61" s="114"/>
      <c r="J61">
        <v>1</v>
      </c>
    </row>
    <row r="62" spans="1:10" x14ac:dyDescent="0.25">
      <c r="A62" s="34">
        <v>56</v>
      </c>
      <c r="B62" s="109" t="s">
        <v>31</v>
      </c>
      <c r="C62" t="s">
        <v>297</v>
      </c>
      <c r="F62" s="125"/>
      <c r="G62" s="84">
        <v>2040</v>
      </c>
      <c r="H62" s="125"/>
      <c r="I62" s="114" t="s">
        <v>192</v>
      </c>
      <c r="J62">
        <v>1</v>
      </c>
    </row>
    <row r="63" spans="1:10" x14ac:dyDescent="0.25">
      <c r="A63" s="34">
        <v>57</v>
      </c>
      <c r="B63" s="109" t="s">
        <v>31</v>
      </c>
      <c r="C63" t="s">
        <v>298</v>
      </c>
      <c r="F63" s="125"/>
      <c r="G63" s="84">
        <v>2040</v>
      </c>
      <c r="H63" s="125"/>
      <c r="I63" s="114" t="s">
        <v>192</v>
      </c>
      <c r="J63">
        <v>1</v>
      </c>
    </row>
    <row r="64" spans="1:10" x14ac:dyDescent="0.25">
      <c r="A64" s="34">
        <v>58</v>
      </c>
      <c r="B64" s="109" t="s">
        <v>31</v>
      </c>
      <c r="C64" t="s">
        <v>299</v>
      </c>
      <c r="F64" s="125"/>
      <c r="G64" s="84">
        <v>3840</v>
      </c>
      <c r="H64" s="125"/>
      <c r="I64" s="114" t="s">
        <v>69</v>
      </c>
      <c r="J64">
        <v>2</v>
      </c>
    </row>
    <row r="65" spans="1:10" x14ac:dyDescent="0.25">
      <c r="A65" s="34">
        <v>59</v>
      </c>
      <c r="B65" s="109" t="s">
        <v>31</v>
      </c>
      <c r="C65" t="s">
        <v>300</v>
      </c>
      <c r="F65" s="125"/>
      <c r="G65" s="84">
        <v>1360</v>
      </c>
      <c r="H65" s="125"/>
      <c r="I65" s="114"/>
      <c r="J65">
        <v>0</v>
      </c>
    </row>
    <row r="66" spans="1:10" x14ac:dyDescent="0.25">
      <c r="A66" s="34">
        <v>60</v>
      </c>
      <c r="B66" s="109" t="s">
        <v>31</v>
      </c>
      <c r="C66" t="s">
        <v>301</v>
      </c>
      <c r="F66" s="125"/>
      <c r="G66" s="84">
        <v>2040</v>
      </c>
      <c r="H66" s="125"/>
      <c r="I66" s="114"/>
      <c r="J66">
        <v>1</v>
      </c>
    </row>
    <row r="67" spans="1:10" x14ac:dyDescent="0.25">
      <c r="A67" s="34">
        <v>61</v>
      </c>
      <c r="B67" s="109" t="s">
        <v>31</v>
      </c>
      <c r="C67" t="s">
        <v>302</v>
      </c>
      <c r="F67" s="125"/>
      <c r="G67" s="84">
        <v>2040</v>
      </c>
      <c r="H67" s="125"/>
      <c r="I67" s="114"/>
    </row>
    <row r="68" spans="1:10" x14ac:dyDescent="0.25">
      <c r="A68" s="34">
        <v>62</v>
      </c>
      <c r="B68" s="109" t="s">
        <v>31</v>
      </c>
      <c r="C68" t="s">
        <v>303</v>
      </c>
      <c r="F68" s="125"/>
      <c r="G68" s="84">
        <v>2040</v>
      </c>
      <c r="H68" s="125"/>
      <c r="I68" s="114"/>
      <c r="J68">
        <v>1</v>
      </c>
    </row>
    <row r="69" spans="1:10" x14ac:dyDescent="0.25">
      <c r="A69" s="34">
        <v>63</v>
      </c>
      <c r="B69" s="109" t="s">
        <v>31</v>
      </c>
      <c r="C69" t="s">
        <v>304</v>
      </c>
      <c r="F69" s="125"/>
      <c r="G69" s="84">
        <v>2040</v>
      </c>
      <c r="H69" s="125"/>
      <c r="I69" s="114"/>
      <c r="J69">
        <v>1</v>
      </c>
    </row>
    <row r="70" spans="1:10" x14ac:dyDescent="0.25">
      <c r="A70" s="34">
        <v>64</v>
      </c>
      <c r="B70" s="109" t="s">
        <v>31</v>
      </c>
      <c r="C70" t="s">
        <v>177</v>
      </c>
      <c r="D70" s="56">
        <v>2</v>
      </c>
      <c r="F70" s="125"/>
      <c r="G70" s="84">
        <v>3060</v>
      </c>
      <c r="H70" s="125"/>
      <c r="I70" s="114">
        <v>1</v>
      </c>
      <c r="J70">
        <v>1</v>
      </c>
    </row>
    <row r="71" spans="1:10" x14ac:dyDescent="0.25">
      <c r="A71" s="34">
        <v>66</v>
      </c>
      <c r="B71" s="109" t="s">
        <v>31</v>
      </c>
      <c r="C71" t="s">
        <v>306</v>
      </c>
      <c r="D71" s="56">
        <v>94</v>
      </c>
      <c r="F71" s="125"/>
      <c r="G71" s="84">
        <v>2040</v>
      </c>
      <c r="H71" s="125"/>
      <c r="I71" s="114">
        <v>2011</v>
      </c>
      <c r="J71">
        <v>1</v>
      </c>
    </row>
    <row r="72" spans="1:10" x14ac:dyDescent="0.25">
      <c r="A72" s="34">
        <v>67</v>
      </c>
      <c r="B72" s="109" t="s">
        <v>31</v>
      </c>
      <c r="C72" t="s">
        <v>310</v>
      </c>
      <c r="D72" s="56">
        <v>109</v>
      </c>
      <c r="F72" s="125"/>
      <c r="G72" s="84">
        <v>2040</v>
      </c>
      <c r="H72" s="125"/>
      <c r="I72" s="114"/>
      <c r="J72">
        <v>1</v>
      </c>
    </row>
    <row r="73" spans="1:10" x14ac:dyDescent="0.25">
      <c r="A73" s="34">
        <v>68</v>
      </c>
      <c r="B73" s="109" t="s">
        <v>31</v>
      </c>
      <c r="C73" s="61" t="s">
        <v>191</v>
      </c>
      <c r="D73" s="133">
        <v>14</v>
      </c>
      <c r="E73" s="133"/>
      <c r="F73" s="136"/>
      <c r="G73" s="136">
        <f>7680/2</f>
        <v>3840</v>
      </c>
      <c r="H73" s="136" t="s">
        <v>155</v>
      </c>
      <c r="I73" s="137"/>
      <c r="J73" s="61">
        <v>2</v>
      </c>
    </row>
    <row r="74" spans="1:10" x14ac:dyDescent="0.25">
      <c r="A74" s="34">
        <v>69</v>
      </c>
      <c r="B74" s="109" t="s">
        <v>31</v>
      </c>
      <c r="C74" t="s">
        <v>311</v>
      </c>
      <c r="D74" s="56">
        <v>95</v>
      </c>
      <c r="F74" s="125"/>
      <c r="G74" s="84">
        <v>1920</v>
      </c>
      <c r="H74" s="125"/>
      <c r="I74" s="114"/>
      <c r="J74">
        <v>1</v>
      </c>
    </row>
    <row r="75" spans="1:10" x14ac:dyDescent="0.25">
      <c r="A75" s="34">
        <v>70</v>
      </c>
      <c r="B75" s="109" t="s">
        <v>31</v>
      </c>
      <c r="C75" t="s">
        <v>314</v>
      </c>
      <c r="D75" s="56">
        <v>110</v>
      </c>
      <c r="F75" s="125"/>
      <c r="G75" s="84">
        <v>2040</v>
      </c>
      <c r="H75" s="125"/>
      <c r="I75" s="114"/>
    </row>
    <row r="76" spans="1:10" x14ac:dyDescent="0.25">
      <c r="A76" s="34">
        <v>71</v>
      </c>
      <c r="B76" s="109" t="s">
        <v>31</v>
      </c>
      <c r="C76" t="s">
        <v>315</v>
      </c>
      <c r="D76" s="56">
        <v>3</v>
      </c>
      <c r="F76" s="125"/>
      <c r="G76" s="84">
        <v>4080</v>
      </c>
      <c r="H76" s="125"/>
      <c r="I76" s="114"/>
    </row>
    <row r="77" spans="1:10" x14ac:dyDescent="0.25">
      <c r="A77" s="34">
        <v>72</v>
      </c>
      <c r="B77" s="109" t="s">
        <v>31</v>
      </c>
      <c r="C77" t="s">
        <v>316</v>
      </c>
      <c r="D77" s="56">
        <v>99</v>
      </c>
      <c r="F77" s="125"/>
      <c r="G77" s="84">
        <v>7680</v>
      </c>
      <c r="H77" s="125"/>
      <c r="I77" s="114"/>
    </row>
    <row r="78" spans="1:10" x14ac:dyDescent="0.25">
      <c r="A78" s="34"/>
      <c r="B78" s="109"/>
      <c r="C78" t="s">
        <v>320</v>
      </c>
      <c r="D78" s="56">
        <v>9</v>
      </c>
      <c r="F78" s="125"/>
      <c r="G78" s="84">
        <v>3060</v>
      </c>
      <c r="H78" s="125"/>
      <c r="I78" s="114"/>
    </row>
    <row r="79" spans="1:10" x14ac:dyDescent="0.25">
      <c r="A79" s="34"/>
      <c r="B79" s="109"/>
      <c r="F79" s="125"/>
      <c r="G79" s="84"/>
      <c r="H79" s="125"/>
      <c r="I79" s="114"/>
    </row>
    <row r="80" spans="1:10" x14ac:dyDescent="0.25">
      <c r="A80" s="34"/>
      <c r="B80" s="109"/>
      <c r="F80" s="125"/>
      <c r="G80" s="84"/>
      <c r="H80" s="125"/>
      <c r="I80" s="114"/>
    </row>
    <row r="81" spans="1:10" x14ac:dyDescent="0.25">
      <c r="A81" s="118"/>
      <c r="B81" s="118"/>
      <c r="C81" s="121"/>
      <c r="D81" s="119"/>
      <c r="E81" s="119"/>
      <c r="F81" s="126"/>
      <c r="G81" s="120"/>
      <c r="H81" s="120"/>
      <c r="I81" s="119"/>
    </row>
    <row r="82" spans="1:10" x14ac:dyDescent="0.25">
      <c r="A82" s="34">
        <v>70</v>
      </c>
      <c r="B82" s="109" t="s">
        <v>34</v>
      </c>
      <c r="C82" t="s">
        <v>57</v>
      </c>
      <c r="D82" s="56">
        <v>89</v>
      </c>
      <c r="F82" s="84"/>
      <c r="G82" s="84">
        <v>3400</v>
      </c>
      <c r="H82" s="84"/>
      <c r="I82" s="56" t="s">
        <v>69</v>
      </c>
      <c r="J82">
        <v>2</v>
      </c>
    </row>
    <row r="83" spans="1:10" x14ac:dyDescent="0.25">
      <c r="A83" s="34">
        <v>71</v>
      </c>
      <c r="B83" s="109" t="s">
        <v>34</v>
      </c>
      <c r="C83" t="s">
        <v>241</v>
      </c>
      <c r="D83" s="56">
        <v>88</v>
      </c>
      <c r="F83" s="84"/>
      <c r="G83" s="84">
        <v>2720</v>
      </c>
      <c r="H83" s="84">
        <v>195</v>
      </c>
      <c r="I83" s="114" t="s">
        <v>224</v>
      </c>
      <c r="J83">
        <v>1</v>
      </c>
    </row>
    <row r="84" spans="1:10" x14ac:dyDescent="0.25">
      <c r="A84" s="34">
        <v>72</v>
      </c>
      <c r="B84" s="109" t="s">
        <v>34</v>
      </c>
      <c r="C84" t="s">
        <v>23</v>
      </c>
      <c r="D84" s="56" t="s">
        <v>254</v>
      </c>
      <c r="F84" s="84"/>
      <c r="G84" s="84"/>
      <c r="H84" s="84"/>
      <c r="I84" s="114"/>
      <c r="J84">
        <v>1</v>
      </c>
    </row>
    <row r="85" spans="1:10" x14ac:dyDescent="0.25">
      <c r="A85" s="34">
        <v>73</v>
      </c>
      <c r="B85" s="109" t="s">
        <v>34</v>
      </c>
      <c r="C85" t="s">
        <v>58</v>
      </c>
      <c r="D85" s="56">
        <v>87</v>
      </c>
      <c r="F85" s="84"/>
      <c r="G85" s="84">
        <v>680</v>
      </c>
      <c r="H85" s="84">
        <v>195</v>
      </c>
      <c r="I85" s="114"/>
      <c r="J85">
        <v>1</v>
      </c>
    </row>
    <row r="86" spans="1:10" x14ac:dyDescent="0.25">
      <c r="A86" s="34">
        <v>74</v>
      </c>
      <c r="B86" s="109" t="s">
        <v>243</v>
      </c>
      <c r="C86" t="s">
        <v>126</v>
      </c>
      <c r="D86" s="56">
        <v>79</v>
      </c>
      <c r="F86" s="84"/>
      <c r="G86" s="84"/>
      <c r="H86" s="84"/>
      <c r="I86" s="114"/>
      <c r="J86">
        <v>1</v>
      </c>
    </row>
    <row r="87" spans="1:10" x14ac:dyDescent="0.25">
      <c r="A87" s="34">
        <v>75</v>
      </c>
      <c r="B87" s="109" t="s">
        <v>243</v>
      </c>
      <c r="C87" t="s">
        <v>252</v>
      </c>
      <c r="D87" s="56" t="s">
        <v>253</v>
      </c>
      <c r="F87" s="84"/>
      <c r="G87" s="84"/>
      <c r="H87" s="84"/>
      <c r="I87" s="114"/>
      <c r="J87">
        <v>1</v>
      </c>
    </row>
    <row r="88" spans="1:10" x14ac:dyDescent="0.25">
      <c r="A88" s="34"/>
      <c r="B88" s="109"/>
      <c r="F88" s="84"/>
      <c r="G88" s="84"/>
      <c r="H88" s="84"/>
      <c r="I88" s="114"/>
    </row>
    <row r="89" spans="1:10" x14ac:dyDescent="0.25">
      <c r="A89" s="34"/>
      <c r="B89" s="109"/>
      <c r="F89" s="84"/>
      <c r="G89" s="84"/>
      <c r="H89" s="84"/>
      <c r="I89" s="114"/>
    </row>
    <row r="90" spans="1:10" x14ac:dyDescent="0.25">
      <c r="A90" s="118"/>
      <c r="B90" s="118"/>
      <c r="C90" s="118"/>
      <c r="D90" s="119"/>
      <c r="E90" s="119"/>
      <c r="F90" s="120"/>
      <c r="G90" s="120"/>
      <c r="H90" s="120"/>
      <c r="I90" s="119"/>
    </row>
    <row r="91" spans="1:10" x14ac:dyDescent="0.25">
      <c r="A91" s="34">
        <v>73</v>
      </c>
      <c r="B91" t="s">
        <v>220</v>
      </c>
      <c r="C91" t="s">
        <v>231</v>
      </c>
      <c r="D91" s="56" t="s">
        <v>242</v>
      </c>
      <c r="F91" s="84"/>
      <c r="G91" s="84" t="s">
        <v>243</v>
      </c>
      <c r="H91" s="84"/>
      <c r="J91">
        <v>1</v>
      </c>
    </row>
    <row r="92" spans="1:10" x14ac:dyDescent="0.25">
      <c r="B92" s="109" t="s">
        <v>259</v>
      </c>
      <c r="C92" t="s">
        <v>260</v>
      </c>
      <c r="D92" s="56" t="s">
        <v>178</v>
      </c>
      <c r="F92" s="84"/>
      <c r="G92" s="84"/>
      <c r="H92" s="125">
        <v>695</v>
      </c>
    </row>
    <row r="93" spans="1:10" x14ac:dyDescent="0.25">
      <c r="B93" s="109" t="s">
        <v>259</v>
      </c>
      <c r="C93" t="s">
        <v>269</v>
      </c>
      <c r="D93" s="56" t="s">
        <v>178</v>
      </c>
      <c r="F93" s="84"/>
      <c r="G93" s="84"/>
      <c r="H93" s="125">
        <v>695</v>
      </c>
    </row>
    <row r="94" spans="1:10" x14ac:dyDescent="0.25">
      <c r="B94" t="s">
        <v>244</v>
      </c>
      <c r="C94" t="s">
        <v>245</v>
      </c>
      <c r="D94" s="56" t="s">
        <v>178</v>
      </c>
      <c r="F94" s="84"/>
      <c r="G94" s="84"/>
      <c r="H94" s="84"/>
    </row>
    <row r="95" spans="1:10" x14ac:dyDescent="0.25">
      <c r="B95" t="s">
        <v>244</v>
      </c>
      <c r="C95" t="s">
        <v>246</v>
      </c>
      <c r="D95" s="56" t="s">
        <v>178</v>
      </c>
      <c r="F95" s="84"/>
      <c r="G95" s="84"/>
      <c r="H95" s="84"/>
    </row>
    <row r="96" spans="1:10" ht="15.75" customHeight="1" x14ac:dyDescent="0.25">
      <c r="B96" s="109" t="s">
        <v>259</v>
      </c>
      <c r="C96" t="s">
        <v>202</v>
      </c>
      <c r="D96" s="56" t="s">
        <v>178</v>
      </c>
      <c r="G96" s="84"/>
      <c r="H96" s="84">
        <v>695</v>
      </c>
    </row>
    <row r="97" spans="1:10" ht="15.75" customHeight="1" x14ac:dyDescent="0.25">
      <c r="B97" s="109"/>
      <c r="C97" t="s">
        <v>319</v>
      </c>
      <c r="G97" s="84"/>
      <c r="H97" s="84">
        <v>695</v>
      </c>
    </row>
    <row r="98" spans="1:10" x14ac:dyDescent="0.25">
      <c r="B98" s="109" t="s">
        <v>259</v>
      </c>
      <c r="C98" t="s">
        <v>317</v>
      </c>
      <c r="H98" s="84">
        <v>395</v>
      </c>
    </row>
    <row r="99" spans="1:10" x14ac:dyDescent="0.25">
      <c r="A99" s="20"/>
      <c r="B99" s="21"/>
      <c r="C99" s="22" t="s">
        <v>62</v>
      </c>
      <c r="D99" s="47"/>
      <c r="E99" s="47"/>
      <c r="F99" s="23">
        <f>SUM(F6:F96)</f>
        <v>19150</v>
      </c>
      <c r="G99" s="23">
        <f>SUM(G6:G96)</f>
        <v>452590</v>
      </c>
      <c r="H99" s="23">
        <f>SUM(H6:H98)</f>
        <v>12910</v>
      </c>
      <c r="I99" s="115"/>
      <c r="J99" s="88"/>
    </row>
    <row r="100" spans="1:10" x14ac:dyDescent="0.25">
      <c r="F100" s="84"/>
      <c r="H100" s="84"/>
    </row>
    <row r="101" spans="1:10" x14ac:dyDescent="0.25">
      <c r="F101" s="84">
        <f>F99+G99+H99</f>
        <v>484650</v>
      </c>
      <c r="G101" s="84"/>
      <c r="H101" s="84"/>
    </row>
    <row r="102" spans="1:10" x14ac:dyDescent="0.25">
      <c r="H102" s="84"/>
    </row>
    <row r="103" spans="1:10" x14ac:dyDescent="0.25">
      <c r="F103" s="84"/>
    </row>
  </sheetData>
  <sortState xmlns:xlrd2="http://schemas.microsoft.com/office/spreadsheetml/2017/richdata2" ref="A14:J74">
    <sortCondition ref="A14:A74"/>
  </sortState>
  <pageMargins left="0.7" right="0.7" top="0.75" bottom="0.75" header="0.3" footer="0.3"/>
  <pageSetup paperSize="9" orientation="portrait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41"/>
  <sheetViews>
    <sheetView workbookViewId="0">
      <pane xSplit="2" ySplit="2" topLeftCell="U3" activePane="bottomRight" state="frozen"/>
      <selection pane="topRight" activeCell="C1" sqref="C1"/>
      <selection pane="bottomLeft" activeCell="A3" sqref="A3"/>
      <selection pane="bottomRight" activeCell="X8" sqref="X8"/>
    </sheetView>
  </sheetViews>
  <sheetFormatPr defaultColWidth="8.7109375" defaultRowHeight="15" x14ac:dyDescent="0.25"/>
  <cols>
    <col min="1" max="1" width="22.7109375" customWidth="1"/>
    <col min="2" max="5" width="12.7109375" bestFit="1" customWidth="1"/>
    <col min="6" max="6" width="14.28515625" bestFit="1" customWidth="1"/>
    <col min="7" max="19" width="12.7109375" bestFit="1" customWidth="1"/>
    <col min="20" max="20" width="14.28515625" customWidth="1"/>
    <col min="21" max="21" width="14" customWidth="1"/>
    <col min="22" max="22" width="13.42578125" customWidth="1"/>
    <col min="23" max="29" width="16.7109375" customWidth="1"/>
    <col min="30" max="30" width="14" customWidth="1"/>
    <col min="31" max="31" width="12.42578125" bestFit="1" customWidth="1"/>
  </cols>
  <sheetData>
    <row r="1" spans="1:31" ht="15.75" x14ac:dyDescent="0.25">
      <c r="A1" s="16" t="s">
        <v>26</v>
      </c>
      <c r="B1" s="17" t="s">
        <v>0</v>
      </c>
      <c r="C1" s="18" t="s">
        <v>1</v>
      </c>
      <c r="D1" s="18" t="s">
        <v>64</v>
      </c>
      <c r="E1" s="18" t="s">
        <v>103</v>
      </c>
      <c r="F1" s="18" t="s">
        <v>1</v>
      </c>
      <c r="G1" s="18" t="s">
        <v>1</v>
      </c>
      <c r="H1" s="18" t="s">
        <v>1</v>
      </c>
      <c r="I1" s="18" t="s">
        <v>1</v>
      </c>
      <c r="J1" s="18" t="s">
        <v>1</v>
      </c>
      <c r="K1" s="18" t="s">
        <v>1</v>
      </c>
      <c r="L1" s="18" t="s">
        <v>1</v>
      </c>
      <c r="M1" s="18" t="s">
        <v>1</v>
      </c>
      <c r="N1" s="18" t="s">
        <v>1</v>
      </c>
      <c r="O1" s="18" t="s">
        <v>1</v>
      </c>
      <c r="P1" s="18" t="s">
        <v>1</v>
      </c>
      <c r="Q1" s="18" t="s">
        <v>1</v>
      </c>
      <c r="R1" s="18" t="s">
        <v>1</v>
      </c>
      <c r="S1" s="18" t="s">
        <v>1</v>
      </c>
      <c r="T1" s="18" t="s">
        <v>1</v>
      </c>
      <c r="U1" s="18" t="s">
        <v>1</v>
      </c>
      <c r="V1" s="18" t="s">
        <v>1</v>
      </c>
      <c r="W1" s="18" t="s">
        <v>1</v>
      </c>
      <c r="X1" s="18" t="s">
        <v>1</v>
      </c>
      <c r="Y1" s="18" t="s">
        <v>1</v>
      </c>
      <c r="Z1" s="18" t="s">
        <v>1</v>
      </c>
      <c r="AA1" s="18" t="s">
        <v>1</v>
      </c>
      <c r="AB1" s="18" t="s">
        <v>1</v>
      </c>
      <c r="AC1" s="18" t="s">
        <v>1</v>
      </c>
      <c r="AD1" s="18" t="s">
        <v>153</v>
      </c>
    </row>
    <row r="2" spans="1:31" ht="15.75" x14ac:dyDescent="0.25">
      <c r="A2" s="16" t="s">
        <v>2</v>
      </c>
      <c r="B2" s="19" t="s">
        <v>17</v>
      </c>
      <c r="C2" s="19">
        <v>40859</v>
      </c>
      <c r="D2" s="19">
        <f>C2+18</f>
        <v>40877</v>
      </c>
      <c r="E2" s="19">
        <f>D2+8</f>
        <v>40885</v>
      </c>
      <c r="F2" s="19">
        <f>E2+7</f>
        <v>40892</v>
      </c>
      <c r="G2" s="19">
        <f t="shared" ref="G2:N2" si="0">F2+7</f>
        <v>40899</v>
      </c>
      <c r="H2" s="19">
        <f>G2+15</f>
        <v>40914</v>
      </c>
      <c r="I2" s="19">
        <f t="shared" si="0"/>
        <v>40921</v>
      </c>
      <c r="J2" s="19">
        <f t="shared" si="0"/>
        <v>40928</v>
      </c>
      <c r="K2" s="19">
        <f t="shared" si="0"/>
        <v>40935</v>
      </c>
      <c r="L2" s="19">
        <f t="shared" si="0"/>
        <v>40942</v>
      </c>
      <c r="M2" s="19">
        <f t="shared" si="0"/>
        <v>40949</v>
      </c>
      <c r="N2" s="19">
        <f t="shared" si="0"/>
        <v>40956</v>
      </c>
      <c r="O2" s="19">
        <f t="shared" ref="O2:T2" si="1">N2+7</f>
        <v>40963</v>
      </c>
      <c r="P2" s="19">
        <f t="shared" si="1"/>
        <v>40970</v>
      </c>
      <c r="Q2" s="19">
        <f t="shared" si="1"/>
        <v>40977</v>
      </c>
      <c r="R2" s="19">
        <f t="shared" si="1"/>
        <v>40984</v>
      </c>
      <c r="S2" s="19">
        <f t="shared" si="1"/>
        <v>40991</v>
      </c>
      <c r="T2" s="19">
        <f t="shared" si="1"/>
        <v>40998</v>
      </c>
      <c r="U2" s="19">
        <f>T2+14</f>
        <v>41012</v>
      </c>
      <c r="V2" s="19">
        <f t="shared" ref="V2:AA2" si="2">U2+7</f>
        <v>41019</v>
      </c>
      <c r="W2" s="19">
        <f t="shared" si="2"/>
        <v>41026</v>
      </c>
      <c r="X2" s="19">
        <f t="shared" si="2"/>
        <v>41033</v>
      </c>
      <c r="Y2" s="19">
        <f t="shared" si="2"/>
        <v>41040</v>
      </c>
      <c r="Z2" s="19">
        <f t="shared" si="2"/>
        <v>41047</v>
      </c>
      <c r="AA2" s="19">
        <f t="shared" si="2"/>
        <v>41054</v>
      </c>
      <c r="AB2" s="19">
        <f>AA2+14</f>
        <v>41068</v>
      </c>
      <c r="AC2" s="19">
        <f>AB2+7</f>
        <v>41075</v>
      </c>
    </row>
    <row r="3" spans="1:31" x14ac:dyDescent="0.25">
      <c r="A3" s="12" t="s">
        <v>15</v>
      </c>
      <c r="B3" s="38">
        <v>40664</v>
      </c>
      <c r="C3" s="12"/>
      <c r="D3" s="12"/>
      <c r="E3" s="12"/>
      <c r="F3" s="52" t="s">
        <v>65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31" x14ac:dyDescent="0.25">
      <c r="A4" s="3" t="s">
        <v>16</v>
      </c>
      <c r="B4" s="40">
        <v>549</v>
      </c>
      <c r="C4" s="14">
        <v>19</v>
      </c>
      <c r="D4" s="14">
        <v>55</v>
      </c>
      <c r="E4" s="14">
        <v>132</v>
      </c>
      <c r="F4" s="14"/>
      <c r="G4" s="14">
        <v>395</v>
      </c>
      <c r="H4" s="14">
        <v>395</v>
      </c>
      <c r="I4" s="14">
        <v>396</v>
      </c>
      <c r="J4" s="14"/>
      <c r="K4" s="14">
        <v>397</v>
      </c>
      <c r="L4" s="14">
        <v>403</v>
      </c>
      <c r="M4" s="14">
        <v>407</v>
      </c>
      <c r="N4" s="14">
        <v>411</v>
      </c>
      <c r="O4" s="14">
        <v>417</v>
      </c>
      <c r="P4" s="14">
        <v>420</v>
      </c>
      <c r="Q4" s="14">
        <v>425</v>
      </c>
      <c r="R4" s="14">
        <v>429</v>
      </c>
      <c r="S4" s="14">
        <v>440</v>
      </c>
      <c r="T4" s="14">
        <v>440</v>
      </c>
      <c r="U4" s="14">
        <v>495</v>
      </c>
      <c r="V4" s="14">
        <v>496</v>
      </c>
      <c r="W4" s="14">
        <v>496</v>
      </c>
      <c r="X4" s="14">
        <v>496</v>
      </c>
      <c r="Y4" s="14">
        <v>496</v>
      </c>
      <c r="Z4" s="14">
        <v>496</v>
      </c>
      <c r="AA4" s="14">
        <v>496</v>
      </c>
      <c r="AB4" s="14">
        <v>496</v>
      </c>
      <c r="AC4" s="14">
        <v>496</v>
      </c>
      <c r="AD4" s="92"/>
    </row>
    <row r="5" spans="1:31" x14ac:dyDescent="0.25">
      <c r="A5" s="3" t="s">
        <v>25</v>
      </c>
      <c r="B5" s="40">
        <v>358</v>
      </c>
      <c r="C5" s="14"/>
      <c r="D5" s="14"/>
      <c r="E5" s="14"/>
      <c r="F5" s="14"/>
      <c r="G5" s="14"/>
      <c r="H5" s="14"/>
      <c r="I5" s="14"/>
      <c r="J5" s="14"/>
      <c r="K5" s="14" t="s">
        <v>132</v>
      </c>
      <c r="L5" s="14" t="s">
        <v>132</v>
      </c>
      <c r="M5" s="14" t="s">
        <v>132</v>
      </c>
      <c r="N5" s="14" t="s">
        <v>132</v>
      </c>
      <c r="O5" s="14" t="s">
        <v>152</v>
      </c>
      <c r="P5" s="14" t="s">
        <v>152</v>
      </c>
      <c r="Q5" s="14" t="s">
        <v>167</v>
      </c>
      <c r="R5" s="14" t="s">
        <v>167</v>
      </c>
      <c r="S5" s="14" t="s">
        <v>167</v>
      </c>
      <c r="T5" s="14" t="s">
        <v>167</v>
      </c>
      <c r="U5" s="14" t="s">
        <v>186</v>
      </c>
      <c r="V5" s="14" t="s">
        <v>186</v>
      </c>
      <c r="W5" s="14" t="s">
        <v>186</v>
      </c>
      <c r="X5" s="14" t="s">
        <v>186</v>
      </c>
      <c r="Y5" s="14">
        <v>352</v>
      </c>
      <c r="Z5" s="14">
        <v>359</v>
      </c>
      <c r="AA5" s="14">
        <v>359</v>
      </c>
      <c r="AB5" s="14">
        <v>359</v>
      </c>
      <c r="AC5" s="14">
        <v>359</v>
      </c>
      <c r="AE5" t="s">
        <v>197</v>
      </c>
    </row>
    <row r="6" spans="1:31" x14ac:dyDescent="0.25">
      <c r="A6" s="66" t="s">
        <v>109</v>
      </c>
      <c r="B6" s="64"/>
      <c r="C6" s="64"/>
      <c r="D6" s="64"/>
      <c r="E6" s="64"/>
      <c r="F6" s="64"/>
      <c r="G6" s="64"/>
      <c r="H6" s="64"/>
      <c r="I6" s="64"/>
      <c r="J6" s="64"/>
      <c r="K6" s="64" t="s">
        <v>133</v>
      </c>
      <c r="L6" s="64" t="s">
        <v>133</v>
      </c>
      <c r="M6" s="64" t="s">
        <v>133</v>
      </c>
      <c r="N6" s="64" t="s">
        <v>133</v>
      </c>
      <c r="O6" s="64" t="s">
        <v>133</v>
      </c>
      <c r="P6" s="64" t="s">
        <v>133</v>
      </c>
      <c r="Q6" s="64" t="s">
        <v>133</v>
      </c>
      <c r="R6" s="64" t="s">
        <v>133</v>
      </c>
      <c r="S6" s="64" t="s">
        <v>133</v>
      </c>
      <c r="T6" s="64" t="s">
        <v>133</v>
      </c>
      <c r="U6" s="64" t="s">
        <v>185</v>
      </c>
      <c r="V6" s="64" t="s">
        <v>185</v>
      </c>
      <c r="W6" s="64" t="s">
        <v>185</v>
      </c>
      <c r="X6" s="64" t="s">
        <v>185</v>
      </c>
      <c r="Y6" s="64" t="s">
        <v>185</v>
      </c>
      <c r="Z6" s="64" t="s">
        <v>185</v>
      </c>
      <c r="AA6" s="64" t="s">
        <v>185</v>
      </c>
      <c r="AB6" s="64" t="s">
        <v>185</v>
      </c>
      <c r="AC6" s="64" t="s">
        <v>185</v>
      </c>
    </row>
    <row r="7" spans="1:31" x14ac:dyDescent="0.25">
      <c r="A7" s="1" t="s">
        <v>3</v>
      </c>
      <c r="B7" s="39">
        <v>801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E7" t="s">
        <v>200</v>
      </c>
    </row>
    <row r="8" spans="1:31" x14ac:dyDescent="0.25">
      <c r="A8" s="3" t="s">
        <v>4</v>
      </c>
      <c r="B8" s="40">
        <v>937</v>
      </c>
      <c r="C8" s="4">
        <v>0</v>
      </c>
      <c r="D8" s="4">
        <v>3</v>
      </c>
      <c r="E8" s="4">
        <v>4</v>
      </c>
      <c r="F8" s="4"/>
      <c r="G8" s="4">
        <v>7</v>
      </c>
      <c r="H8" s="4">
        <v>12</v>
      </c>
      <c r="I8" s="4">
        <f>27-I10</f>
        <v>15</v>
      </c>
      <c r="J8" s="4">
        <f>42-J10-J11-J12</f>
        <v>19</v>
      </c>
      <c r="K8" s="4">
        <f>35-K10</f>
        <v>21</v>
      </c>
      <c r="L8" s="4">
        <f>43-L10</f>
        <v>26</v>
      </c>
      <c r="M8" s="4">
        <f>54-M10</f>
        <v>36</v>
      </c>
      <c r="N8" s="94">
        <f>62-N10</f>
        <v>43</v>
      </c>
      <c r="O8" s="94">
        <v>56</v>
      </c>
      <c r="P8" s="94">
        <f>102-P10</f>
        <v>62</v>
      </c>
      <c r="Q8" s="94">
        <v>77</v>
      </c>
      <c r="R8" s="94">
        <f>88+11</f>
        <v>99</v>
      </c>
      <c r="S8" s="94">
        <v>114</v>
      </c>
      <c r="T8" s="94">
        <v>131</v>
      </c>
      <c r="U8" s="94">
        <f>345-88</f>
        <v>257</v>
      </c>
      <c r="V8" s="94">
        <v>391</v>
      </c>
      <c r="W8" s="94">
        <f>707-W10</f>
        <v>587</v>
      </c>
      <c r="X8" s="94">
        <f>744-X10</f>
        <v>606</v>
      </c>
      <c r="Y8" s="94">
        <f>797-Y10</f>
        <v>641</v>
      </c>
      <c r="Z8" s="94">
        <f>887-Z10</f>
        <v>685</v>
      </c>
      <c r="AA8" s="94">
        <f>957-AA10</f>
        <v>739</v>
      </c>
      <c r="AB8" s="94">
        <f>1078-AB10</f>
        <v>806</v>
      </c>
      <c r="AC8" s="94">
        <f>1221-AC10</f>
        <v>856</v>
      </c>
      <c r="AD8" s="92">
        <f>AC8-AB8</f>
        <v>50</v>
      </c>
      <c r="AE8" t="s">
        <v>195</v>
      </c>
    </row>
    <row r="9" spans="1:31" x14ac:dyDescent="0.25">
      <c r="A9" s="3" t="s">
        <v>142</v>
      </c>
      <c r="B9" s="40"/>
      <c r="C9" s="4"/>
      <c r="D9" s="4"/>
      <c r="E9" s="4"/>
      <c r="F9" s="4"/>
      <c r="G9" s="4"/>
      <c r="H9" s="4"/>
      <c r="I9" s="4"/>
      <c r="J9" s="4"/>
      <c r="K9" s="4"/>
      <c r="L9" s="4">
        <v>139</v>
      </c>
      <c r="M9" s="4">
        <v>139</v>
      </c>
      <c r="N9" s="4">
        <v>139</v>
      </c>
      <c r="O9" s="4">
        <v>139</v>
      </c>
      <c r="P9" s="4">
        <v>139</v>
      </c>
      <c r="Q9" s="4">
        <v>139</v>
      </c>
      <c r="R9" s="4">
        <v>167</v>
      </c>
      <c r="S9" s="4">
        <v>167</v>
      </c>
      <c r="T9" s="4">
        <v>167</v>
      </c>
      <c r="U9" s="4">
        <v>167</v>
      </c>
      <c r="V9" s="4">
        <v>167</v>
      </c>
      <c r="W9" s="4">
        <v>167</v>
      </c>
      <c r="X9" s="4">
        <v>167</v>
      </c>
      <c r="Y9" s="4">
        <v>167</v>
      </c>
      <c r="Z9" s="4">
        <v>167</v>
      </c>
      <c r="AA9" s="4">
        <f>52+115</f>
        <v>167</v>
      </c>
      <c r="AB9" s="4">
        <v>167</v>
      </c>
      <c r="AC9" s="4">
        <v>95</v>
      </c>
    </row>
    <row r="10" spans="1:31" x14ac:dyDescent="0.25">
      <c r="A10" s="3" t="s">
        <v>161</v>
      </c>
      <c r="B10" s="40">
        <v>938</v>
      </c>
      <c r="C10" s="4"/>
      <c r="D10" s="4"/>
      <c r="E10" s="4">
        <v>4</v>
      </c>
      <c r="F10" s="4"/>
      <c r="G10" s="4">
        <v>10</v>
      </c>
      <c r="H10" s="4">
        <v>10</v>
      </c>
      <c r="I10" s="4">
        <v>12</v>
      </c>
      <c r="J10" s="4">
        <v>13</v>
      </c>
      <c r="K10" s="4">
        <v>14</v>
      </c>
      <c r="L10" s="4">
        <v>17</v>
      </c>
      <c r="M10" s="4">
        <v>18</v>
      </c>
      <c r="N10" s="4">
        <v>19</v>
      </c>
      <c r="O10" s="4">
        <v>29</v>
      </c>
      <c r="P10" s="4">
        <f>35+1+3+1</f>
        <v>40</v>
      </c>
      <c r="Q10" s="4">
        <f>39+3+7+2+1+4+1</f>
        <v>57</v>
      </c>
      <c r="R10" s="4">
        <f>45+3+7+2+1+5+1</f>
        <v>64</v>
      </c>
      <c r="S10" s="4">
        <f>45+3+7+2+1+5+19</f>
        <v>82</v>
      </c>
      <c r="T10" s="4">
        <v>87</v>
      </c>
      <c r="U10" s="4">
        <f>51+8+8+1+6+2+2+1</f>
        <v>79</v>
      </c>
      <c r="V10" s="4">
        <v>102</v>
      </c>
      <c r="W10" s="4">
        <v>120</v>
      </c>
      <c r="X10" s="4">
        <v>138</v>
      </c>
      <c r="Y10" s="4">
        <v>156</v>
      </c>
      <c r="Z10" s="4">
        <v>202</v>
      </c>
      <c r="AA10" s="4">
        <v>218</v>
      </c>
      <c r="AB10" s="4">
        <v>272</v>
      </c>
      <c r="AC10" s="4">
        <v>365</v>
      </c>
      <c r="AD10" s="92">
        <f>AC10-AB10</f>
        <v>93</v>
      </c>
      <c r="AE10" t="s">
        <v>196</v>
      </c>
    </row>
    <row r="11" spans="1:31" x14ac:dyDescent="0.25">
      <c r="A11" s="3" t="s">
        <v>5</v>
      </c>
      <c r="B11" s="40"/>
      <c r="C11" s="4"/>
      <c r="D11" s="4"/>
      <c r="E11" s="4"/>
      <c r="F11" s="4"/>
      <c r="G11" s="4"/>
      <c r="H11" s="4"/>
      <c r="I11" s="4">
        <v>6</v>
      </c>
      <c r="J11" s="4">
        <v>6</v>
      </c>
      <c r="K11" s="4">
        <v>6</v>
      </c>
      <c r="L11" s="4">
        <v>6</v>
      </c>
      <c r="M11" s="4">
        <v>6</v>
      </c>
      <c r="N11" s="4">
        <v>6</v>
      </c>
      <c r="O11" s="4">
        <v>42</v>
      </c>
      <c r="P11" s="4">
        <v>1</v>
      </c>
      <c r="Q11" s="4">
        <v>97</v>
      </c>
      <c r="R11" s="4">
        <v>100</v>
      </c>
      <c r="S11" s="4">
        <v>100</v>
      </c>
      <c r="T11" s="4">
        <v>132</v>
      </c>
      <c r="U11" s="4">
        <v>223</v>
      </c>
      <c r="V11" s="4">
        <v>223</v>
      </c>
      <c r="W11" s="4">
        <v>223</v>
      </c>
      <c r="X11" s="4">
        <v>228</v>
      </c>
      <c r="Y11" s="4">
        <v>230</v>
      </c>
      <c r="Z11" s="4">
        <v>230</v>
      </c>
      <c r="AA11" s="4">
        <f>232+2</f>
        <v>234</v>
      </c>
      <c r="AB11" s="4">
        <f>234+10</f>
        <v>244</v>
      </c>
      <c r="AC11" s="4">
        <f>237+17+5</f>
        <v>259</v>
      </c>
    </row>
    <row r="12" spans="1:31" x14ac:dyDescent="0.25">
      <c r="A12" s="3" t="s">
        <v>6</v>
      </c>
      <c r="B12" s="40"/>
      <c r="C12" s="4"/>
      <c r="D12" s="4"/>
      <c r="E12" s="4"/>
      <c r="F12" s="4"/>
      <c r="G12" s="4"/>
      <c r="H12" s="4"/>
      <c r="I12" s="4">
        <v>4</v>
      </c>
      <c r="J12" s="4">
        <v>4</v>
      </c>
      <c r="K12" s="4">
        <v>4</v>
      </c>
      <c r="L12" s="4">
        <v>4</v>
      </c>
      <c r="M12" s="4">
        <v>4</v>
      </c>
      <c r="N12" s="4">
        <v>4</v>
      </c>
      <c r="O12" s="4">
        <v>4</v>
      </c>
      <c r="P12" s="4">
        <v>3</v>
      </c>
      <c r="Q12" s="4">
        <v>4</v>
      </c>
      <c r="R12" s="4">
        <v>4</v>
      </c>
      <c r="S12" s="4">
        <v>4</v>
      </c>
      <c r="T12" s="4">
        <v>4</v>
      </c>
      <c r="U12" s="4">
        <v>4</v>
      </c>
      <c r="V12" s="4">
        <v>4</v>
      </c>
      <c r="W12" s="4">
        <v>4</v>
      </c>
      <c r="X12" s="4">
        <v>4</v>
      </c>
      <c r="Y12" s="4">
        <v>4</v>
      </c>
      <c r="Z12" s="4">
        <v>4</v>
      </c>
      <c r="AA12" s="4">
        <f>9+5</f>
        <v>14</v>
      </c>
      <c r="AB12" s="4">
        <f>9+5</f>
        <v>14</v>
      </c>
      <c r="AC12" s="4">
        <f>9</f>
        <v>9</v>
      </c>
    </row>
    <row r="13" spans="1:31" x14ac:dyDescent="0.25">
      <c r="A13" s="3" t="s">
        <v>162</v>
      </c>
      <c r="B13" s="40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>
        <v>1</v>
      </c>
      <c r="Q13" s="4">
        <v>5</v>
      </c>
      <c r="R13" s="4">
        <v>12</v>
      </c>
      <c r="S13" s="4">
        <v>12</v>
      </c>
      <c r="T13" s="4">
        <v>12</v>
      </c>
      <c r="U13" s="4">
        <v>12</v>
      </c>
      <c r="V13" s="4">
        <v>12</v>
      </c>
      <c r="W13" s="4">
        <v>43</v>
      </c>
      <c r="X13" s="4">
        <v>43</v>
      </c>
      <c r="Y13" s="4">
        <v>133</v>
      </c>
      <c r="Z13" s="4">
        <v>133</v>
      </c>
      <c r="AA13" s="4">
        <v>366</v>
      </c>
      <c r="AB13" s="4">
        <v>573</v>
      </c>
      <c r="AC13" s="4">
        <v>640</v>
      </c>
    </row>
    <row r="14" spans="1:31" x14ac:dyDescent="0.25">
      <c r="A14" s="3"/>
      <c r="B14" s="4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31" x14ac:dyDescent="0.25">
      <c r="A15" s="1" t="s">
        <v>7</v>
      </c>
      <c r="B15" s="41">
        <f>SUM(B8:B12)</f>
        <v>1875</v>
      </c>
      <c r="C15" s="5">
        <f>SUM(C8:C12)</f>
        <v>0</v>
      </c>
      <c r="D15" s="5">
        <f>SUM(D8:D12)</f>
        <v>3</v>
      </c>
      <c r="E15" s="5">
        <f>SUM(E8:E12)</f>
        <v>8</v>
      </c>
      <c r="F15" s="5">
        <f t="shared" ref="F15:L15" si="3">SUM(F8:F14)</f>
        <v>0</v>
      </c>
      <c r="G15" s="5">
        <f t="shared" si="3"/>
        <v>17</v>
      </c>
      <c r="H15" s="5">
        <f t="shared" si="3"/>
        <v>22</v>
      </c>
      <c r="I15" s="5">
        <f t="shared" si="3"/>
        <v>37</v>
      </c>
      <c r="J15" s="5">
        <f t="shared" si="3"/>
        <v>42</v>
      </c>
      <c r="K15" s="5">
        <f t="shared" si="3"/>
        <v>45</v>
      </c>
      <c r="L15" s="5">
        <f t="shared" si="3"/>
        <v>192</v>
      </c>
      <c r="M15" s="5">
        <f t="shared" ref="M15:AC15" si="4">SUM(M8:M14)</f>
        <v>203</v>
      </c>
      <c r="N15" s="5">
        <f t="shared" si="4"/>
        <v>211</v>
      </c>
      <c r="O15" s="5">
        <f t="shared" si="4"/>
        <v>270</v>
      </c>
      <c r="P15" s="5">
        <f t="shared" si="4"/>
        <v>246</v>
      </c>
      <c r="Q15" s="5">
        <f t="shared" si="4"/>
        <v>379</v>
      </c>
      <c r="R15" s="5">
        <f t="shared" si="4"/>
        <v>446</v>
      </c>
      <c r="S15" s="5">
        <f t="shared" si="4"/>
        <v>479</v>
      </c>
      <c r="T15" s="5">
        <f t="shared" si="4"/>
        <v>533</v>
      </c>
      <c r="U15" s="5">
        <f t="shared" si="4"/>
        <v>742</v>
      </c>
      <c r="V15" s="5">
        <f t="shared" si="4"/>
        <v>899</v>
      </c>
      <c r="W15" s="5">
        <f t="shared" si="4"/>
        <v>1144</v>
      </c>
      <c r="X15" s="5">
        <f t="shared" si="4"/>
        <v>1186</v>
      </c>
      <c r="Y15" s="5">
        <f t="shared" si="4"/>
        <v>1331</v>
      </c>
      <c r="Z15" s="5">
        <f t="shared" si="4"/>
        <v>1421</v>
      </c>
      <c r="AA15" s="5">
        <f t="shared" si="4"/>
        <v>1738</v>
      </c>
      <c r="AB15" s="5">
        <f t="shared" si="4"/>
        <v>2076</v>
      </c>
      <c r="AC15" s="5">
        <f t="shared" si="4"/>
        <v>2224</v>
      </c>
    </row>
    <row r="16" spans="1:31" x14ac:dyDescent="0.25">
      <c r="A16" s="66" t="s">
        <v>109</v>
      </c>
      <c r="B16" s="64"/>
      <c r="C16" s="64"/>
      <c r="D16" s="64"/>
      <c r="E16" s="64"/>
      <c r="F16" s="64"/>
      <c r="G16" s="64"/>
      <c r="H16" s="64"/>
      <c r="I16" s="82" t="s">
        <v>136</v>
      </c>
      <c r="J16" s="64"/>
      <c r="K16" s="64" t="s">
        <v>135</v>
      </c>
      <c r="L16" s="64"/>
      <c r="M16" s="64"/>
      <c r="N16" s="64"/>
      <c r="O16" s="64" t="s">
        <v>135</v>
      </c>
      <c r="P16" s="64"/>
      <c r="Q16" s="82" t="s">
        <v>166</v>
      </c>
      <c r="R16" s="82" t="s">
        <v>169</v>
      </c>
      <c r="S16" s="82" t="s">
        <v>169</v>
      </c>
      <c r="T16" s="82"/>
      <c r="U16" s="82" t="s">
        <v>187</v>
      </c>
      <c r="V16" s="82" t="s">
        <v>187</v>
      </c>
      <c r="W16" s="82"/>
      <c r="X16" s="82"/>
      <c r="Y16" s="82"/>
      <c r="Z16" s="82"/>
      <c r="AA16" s="82"/>
      <c r="AB16" s="82"/>
      <c r="AC16" s="82"/>
    </row>
    <row r="17" spans="1:31" x14ac:dyDescent="0.25">
      <c r="A17" s="6"/>
      <c r="B17" s="40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 t="s">
        <v>170</v>
      </c>
      <c r="S17" s="7" t="s">
        <v>170</v>
      </c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31" x14ac:dyDescent="0.25">
      <c r="A18" s="1" t="s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31" x14ac:dyDescent="0.25">
      <c r="A19" s="54" t="s">
        <v>9</v>
      </c>
      <c r="B19" s="42"/>
      <c r="C19" s="53"/>
      <c r="D19" s="53"/>
      <c r="E19" s="53">
        <f>1095/1.2</f>
        <v>912.5</v>
      </c>
      <c r="F19" s="53"/>
      <c r="G19" s="53">
        <v>1823</v>
      </c>
      <c r="H19" s="53">
        <f>3426/1.2</f>
        <v>2855</v>
      </c>
      <c r="I19" s="53">
        <f>4383/1.2</f>
        <v>3652.5</v>
      </c>
      <c r="J19" s="53">
        <f>5478/1.2</f>
        <v>4565</v>
      </c>
      <c r="K19" s="53">
        <f>6088/1.2</f>
        <v>5073.3333333333339</v>
      </c>
      <c r="L19" s="53">
        <f>7483/1.2</f>
        <v>6235.8333333333339</v>
      </c>
      <c r="M19" s="53">
        <f>8903/1.2</f>
        <v>7419.166666666667</v>
      </c>
      <c r="N19" s="53">
        <f>9297/1.2</f>
        <v>7747.5</v>
      </c>
      <c r="O19" s="53">
        <f>12347/1.2</f>
        <v>10289.166666666668</v>
      </c>
      <c r="P19" s="53">
        <f>14732/1.2</f>
        <v>12276.666666666668</v>
      </c>
      <c r="Q19" s="53">
        <f>18786
/1.2</f>
        <v>15655</v>
      </c>
      <c r="R19" s="53">
        <f>(22986+2745)
/1.2</f>
        <v>21442.5</v>
      </c>
      <c r="S19" s="53">
        <f>32183.5
/1.2</f>
        <v>26819.583333333336</v>
      </c>
      <c r="T19" s="53">
        <f>37165.5
/1.2</f>
        <v>30971.25</v>
      </c>
      <c r="U19" s="53">
        <f>63087
/1.2</f>
        <v>52572.5</v>
      </c>
      <c r="V19" s="53">
        <f>88947
/1.2</f>
        <v>74122.5</v>
      </c>
      <c r="W19" s="53">
        <f>136569.1
/1.2</f>
        <v>113807.58333333334</v>
      </c>
      <c r="X19" s="53">
        <f>140437.1
/1.2</f>
        <v>117030.91666666667</v>
      </c>
      <c r="Y19" s="53">
        <f>146995.1
/1.2</f>
        <v>122495.91666666667</v>
      </c>
      <c r="Z19" s="53">
        <f>158589.1
/1.2</f>
        <v>132157.58333333334</v>
      </c>
      <c r="AA19" s="53">
        <f>170152.6
/1.2</f>
        <v>141793.83333333334</v>
      </c>
      <c r="AB19" s="53">
        <f>187654.6
/1.2</f>
        <v>156378.83333333334</v>
      </c>
      <c r="AC19" s="53">
        <f>200503.6
/1.2</f>
        <v>167086.33333333334</v>
      </c>
      <c r="AD19" s="93">
        <f>AC19-AB19</f>
        <v>10707.5</v>
      </c>
      <c r="AE19" s="44"/>
    </row>
    <row r="20" spans="1:31" x14ac:dyDescent="0.25">
      <c r="A20" s="8" t="s">
        <v>10</v>
      </c>
      <c r="B20" s="42"/>
      <c r="C20" s="9"/>
      <c r="D20" s="9">
        <v>2995</v>
      </c>
      <c r="E20" s="9">
        <v>2995</v>
      </c>
      <c r="F20" s="9"/>
      <c r="G20" s="9">
        <v>2995</v>
      </c>
      <c r="H20" s="9">
        <v>2995</v>
      </c>
      <c r="I20" s="9">
        <v>3490</v>
      </c>
      <c r="J20" s="9">
        <v>3490</v>
      </c>
      <c r="K20" s="9">
        <v>3985</v>
      </c>
      <c r="L20" s="9">
        <v>3985</v>
      </c>
      <c r="M20" s="9">
        <v>3985</v>
      </c>
      <c r="N20" s="9">
        <v>3985</v>
      </c>
      <c r="O20" s="9">
        <v>3985</v>
      </c>
      <c r="P20" s="9">
        <v>3985</v>
      </c>
      <c r="Q20" s="9">
        <v>3985</v>
      </c>
      <c r="R20" s="9">
        <v>3985</v>
      </c>
      <c r="S20" s="9">
        <v>3985</v>
      </c>
      <c r="T20" s="9">
        <v>9480</v>
      </c>
      <c r="U20" s="9">
        <v>9480</v>
      </c>
      <c r="V20" s="9">
        <v>9480</v>
      </c>
      <c r="W20" s="9">
        <v>9480</v>
      </c>
      <c r="X20" s="9">
        <v>9480</v>
      </c>
      <c r="Y20" s="9">
        <v>9480</v>
      </c>
      <c r="Z20" s="9">
        <v>9480</v>
      </c>
      <c r="AA20" s="9">
        <v>9480</v>
      </c>
      <c r="AB20" s="9">
        <v>10980</v>
      </c>
      <c r="AC20" s="9">
        <v>10980</v>
      </c>
      <c r="AD20" s="44"/>
    </row>
    <row r="21" spans="1:31" x14ac:dyDescent="0.25">
      <c r="A21" s="8" t="s">
        <v>11</v>
      </c>
      <c r="B21" s="42">
        <v>478526</v>
      </c>
      <c r="C21" s="9">
        <v>38000</v>
      </c>
      <c r="D21" s="9">
        <v>229424</v>
      </c>
      <c r="E21" s="9">
        <v>334800</v>
      </c>
      <c r="F21" s="9"/>
      <c r="G21" s="9">
        <v>341720</v>
      </c>
      <c r="H21" s="9">
        <v>360440</v>
      </c>
      <c r="I21" s="9">
        <v>367710</v>
      </c>
      <c r="J21" s="9">
        <v>372830</v>
      </c>
      <c r="K21" s="9">
        <v>375800</v>
      </c>
      <c r="L21" s="9">
        <v>387360</v>
      </c>
      <c r="M21" s="9">
        <v>387360</v>
      </c>
      <c r="N21" s="9">
        <v>383560</v>
      </c>
      <c r="O21" s="9">
        <v>382280</v>
      </c>
      <c r="P21" s="9">
        <v>390300</v>
      </c>
      <c r="Q21" s="9">
        <v>403260</v>
      </c>
      <c r="R21" s="9">
        <v>424480</v>
      </c>
      <c r="S21" s="9">
        <v>424480</v>
      </c>
      <c r="T21" s="9">
        <v>427200</v>
      </c>
      <c r="U21" s="9">
        <v>443340</v>
      </c>
      <c r="V21" s="9">
        <v>445482</v>
      </c>
      <c r="W21" s="9">
        <v>449562</v>
      </c>
      <c r="X21" s="9">
        <v>450042</v>
      </c>
      <c r="Y21" s="9">
        <v>459807</v>
      </c>
      <c r="Z21" s="9">
        <v>459807</v>
      </c>
      <c r="AA21" s="9">
        <v>471047</v>
      </c>
      <c r="AB21" s="9">
        <v>488037</v>
      </c>
      <c r="AC21" s="9">
        <v>490077</v>
      </c>
      <c r="AD21" s="44" t="s">
        <v>157</v>
      </c>
    </row>
    <row r="22" spans="1:31" x14ac:dyDescent="0.25">
      <c r="A22" s="8" t="s">
        <v>12</v>
      </c>
      <c r="B22" s="42">
        <v>0</v>
      </c>
      <c r="C22" s="9"/>
      <c r="D22" s="9">
        <v>3880</v>
      </c>
      <c r="E22" s="9">
        <v>3880</v>
      </c>
      <c r="F22" s="9"/>
      <c r="G22" s="9">
        <v>3880</v>
      </c>
      <c r="H22" s="9">
        <v>3880</v>
      </c>
      <c r="I22" s="9">
        <v>3385</v>
      </c>
      <c r="J22" s="9">
        <f>2690+695</f>
        <v>3385</v>
      </c>
      <c r="K22" s="9">
        <f>2690+695</f>
        <v>3385</v>
      </c>
      <c r="L22" s="9">
        <f>2690+695</f>
        <v>3385</v>
      </c>
      <c r="M22" s="9">
        <f>2690+695</f>
        <v>3385</v>
      </c>
      <c r="N22" s="9">
        <f>2690+695</f>
        <v>3385</v>
      </c>
      <c r="O22" s="9">
        <v>4975</v>
      </c>
      <c r="P22" s="9">
        <v>4975</v>
      </c>
      <c r="Q22" s="9">
        <v>4975</v>
      </c>
      <c r="R22" s="9">
        <f>2690+1590+1390</f>
        <v>5670</v>
      </c>
      <c r="S22" s="9">
        <f>2690+1590+1390</f>
        <v>5670</v>
      </c>
      <c r="T22" s="9">
        <f>3680+2385+2085</f>
        <v>8150</v>
      </c>
      <c r="U22" s="9">
        <v>9940</v>
      </c>
      <c r="V22" s="9">
        <v>9940</v>
      </c>
      <c r="W22" s="9">
        <v>12530</v>
      </c>
      <c r="X22" s="9">
        <v>12530</v>
      </c>
      <c r="Y22" s="9">
        <v>13720</v>
      </c>
      <c r="Z22" s="9">
        <v>13720</v>
      </c>
      <c r="AA22" s="9">
        <v>16500</v>
      </c>
      <c r="AB22" s="9">
        <v>18790</v>
      </c>
      <c r="AC22" s="9">
        <v>18790</v>
      </c>
      <c r="AD22" s="93">
        <f>(AC20+AC21+AC22)-(AB20+AB21+AB22)</f>
        <v>2040</v>
      </c>
    </row>
    <row r="23" spans="1:31" x14ac:dyDescent="0.25">
      <c r="A23" s="1" t="s">
        <v>13</v>
      </c>
      <c r="B23" s="43">
        <f>SUM(B19:B22)</f>
        <v>478526</v>
      </c>
      <c r="C23" s="10">
        <f>SUM(C19:C22)</f>
        <v>38000</v>
      </c>
      <c r="D23" s="10">
        <f>SUM(D19:D22)</f>
        <v>236299</v>
      </c>
      <c r="E23" s="10">
        <f>SUM(E19:E22)</f>
        <v>342587.5</v>
      </c>
      <c r="F23" s="10">
        <f t="shared" ref="F23:L23" si="5">SUM(F19:F22)</f>
        <v>0</v>
      </c>
      <c r="G23" s="10">
        <f t="shared" si="5"/>
        <v>350418</v>
      </c>
      <c r="H23" s="10">
        <f t="shared" si="5"/>
        <v>370170</v>
      </c>
      <c r="I23" s="10">
        <f t="shared" si="5"/>
        <v>378237.5</v>
      </c>
      <c r="J23" s="10">
        <f t="shared" si="5"/>
        <v>384270</v>
      </c>
      <c r="K23" s="10">
        <f t="shared" si="5"/>
        <v>388243.33333333331</v>
      </c>
      <c r="L23" s="10">
        <f t="shared" si="5"/>
        <v>400965.83333333331</v>
      </c>
      <c r="M23" s="10">
        <f t="shared" ref="M23:AC23" si="6">SUM(M19:M22)</f>
        <v>402149.16666666669</v>
      </c>
      <c r="N23" s="10">
        <f t="shared" si="6"/>
        <v>398677.5</v>
      </c>
      <c r="O23" s="10">
        <f t="shared" si="6"/>
        <v>401529.16666666669</v>
      </c>
      <c r="P23" s="10">
        <f t="shared" si="6"/>
        <v>411536.66666666669</v>
      </c>
      <c r="Q23" s="10">
        <f t="shared" si="6"/>
        <v>427875</v>
      </c>
      <c r="R23" s="10">
        <f t="shared" si="6"/>
        <v>455577.5</v>
      </c>
      <c r="S23" s="10">
        <f t="shared" si="6"/>
        <v>460954.58333333331</v>
      </c>
      <c r="T23" s="10">
        <f t="shared" si="6"/>
        <v>475801.25</v>
      </c>
      <c r="U23" s="10">
        <f t="shared" si="6"/>
        <v>515332.5</v>
      </c>
      <c r="V23" s="10">
        <f t="shared" si="6"/>
        <v>539024.5</v>
      </c>
      <c r="W23" s="10">
        <f t="shared" si="6"/>
        <v>585379.58333333337</v>
      </c>
      <c r="X23" s="10">
        <f t="shared" si="6"/>
        <v>589082.91666666663</v>
      </c>
      <c r="Y23" s="10">
        <f t="shared" si="6"/>
        <v>605502.91666666674</v>
      </c>
      <c r="Z23" s="10">
        <f t="shared" si="6"/>
        <v>615164.58333333337</v>
      </c>
      <c r="AA23" s="10">
        <f t="shared" si="6"/>
        <v>638820.83333333337</v>
      </c>
      <c r="AB23" s="10">
        <f t="shared" si="6"/>
        <v>674185.83333333337</v>
      </c>
      <c r="AC23" s="10">
        <f t="shared" si="6"/>
        <v>686933.33333333337</v>
      </c>
      <c r="AD23" s="44"/>
      <c r="AE23" s="44">
        <f>AC20+AC21+AC22</f>
        <v>519847</v>
      </c>
    </row>
    <row r="24" spans="1:31" x14ac:dyDescent="0.25">
      <c r="A24" s="66" t="s">
        <v>109</v>
      </c>
      <c r="B24" s="64"/>
      <c r="C24" s="64"/>
      <c r="D24" s="64"/>
      <c r="E24" s="64"/>
      <c r="F24" s="64"/>
      <c r="G24" s="64">
        <v>252549</v>
      </c>
      <c r="H24" s="64">
        <v>252549</v>
      </c>
      <c r="I24" s="64">
        <v>252549</v>
      </c>
      <c r="J24" s="64">
        <v>252549</v>
      </c>
      <c r="K24" s="64">
        <v>252549</v>
      </c>
      <c r="L24" s="64">
        <v>252549</v>
      </c>
      <c r="M24" s="64">
        <v>252549</v>
      </c>
      <c r="N24" s="64">
        <v>252549</v>
      </c>
      <c r="O24" s="64">
        <v>252549</v>
      </c>
      <c r="P24" s="64">
        <v>252549</v>
      </c>
      <c r="Q24" s="64" t="s">
        <v>168</v>
      </c>
      <c r="R24" s="64" t="s">
        <v>168</v>
      </c>
      <c r="S24" s="64"/>
      <c r="T24" s="64"/>
      <c r="U24" s="82" t="s">
        <v>188</v>
      </c>
      <c r="V24" s="82" t="s">
        <v>188</v>
      </c>
      <c r="W24" s="82" t="s">
        <v>188</v>
      </c>
      <c r="X24" s="82"/>
      <c r="Y24" s="82"/>
      <c r="Z24" s="82"/>
      <c r="AA24" s="82"/>
      <c r="AB24" s="82"/>
      <c r="AC24" s="82"/>
    </row>
    <row r="25" spans="1:31" x14ac:dyDescent="0.25">
      <c r="A25" s="6"/>
      <c r="B25" s="65"/>
      <c r="C25" s="7"/>
      <c r="D25" s="7"/>
      <c r="E25" s="7"/>
      <c r="F25" s="7"/>
      <c r="G25" s="7"/>
      <c r="H25" s="7"/>
      <c r="I25" s="131"/>
      <c r="J25" s="7"/>
      <c r="K25" s="131"/>
      <c r="L25" s="131"/>
      <c r="M25" s="7"/>
      <c r="N25" s="131"/>
      <c r="O25" s="7"/>
      <c r="P25" s="131"/>
      <c r="Q25" s="7"/>
      <c r="R25" s="131">
        <f>R20+R21+R22</f>
        <v>434135</v>
      </c>
      <c r="S25" s="7"/>
      <c r="T25" s="131"/>
      <c r="U25" s="131">
        <f>U20+U21+U22</f>
        <v>462760</v>
      </c>
      <c r="V25" s="7"/>
      <c r="W25" s="7"/>
      <c r="X25" s="7"/>
      <c r="Y25" s="7"/>
      <c r="Z25" s="7"/>
      <c r="AA25" s="7"/>
      <c r="AB25" s="7"/>
      <c r="AC25" s="7"/>
    </row>
    <row r="26" spans="1:31" x14ac:dyDescent="0.25">
      <c r="A26" s="1" t="s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31" x14ac:dyDescent="0.25">
      <c r="A27" s="3" t="s">
        <v>137</v>
      </c>
      <c r="B27" s="4">
        <v>0</v>
      </c>
      <c r="C27" s="4">
        <v>0</v>
      </c>
      <c r="D27" s="4"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>
        <v>2</v>
      </c>
      <c r="S27" s="4">
        <v>4</v>
      </c>
      <c r="T27" s="4">
        <v>7</v>
      </c>
      <c r="U27" s="4">
        <v>12</v>
      </c>
      <c r="V27" s="4">
        <v>22</v>
      </c>
      <c r="W27" s="4">
        <v>35</v>
      </c>
      <c r="X27" s="4">
        <v>43</v>
      </c>
      <c r="Y27" s="4">
        <v>50</v>
      </c>
      <c r="Z27" s="4">
        <v>57</v>
      </c>
      <c r="AA27" s="4">
        <v>64</v>
      </c>
      <c r="AB27" s="4">
        <v>76</v>
      </c>
      <c r="AC27" s="4">
        <v>82</v>
      </c>
      <c r="AD27" s="92">
        <f>AC27-AB27</f>
        <v>6</v>
      </c>
    </row>
    <row r="28" spans="1:31" x14ac:dyDescent="0.25">
      <c r="A28" s="3" t="s">
        <v>138</v>
      </c>
      <c r="B28" s="4">
        <v>0</v>
      </c>
      <c r="C28" s="4">
        <v>0</v>
      </c>
      <c r="D28" s="4"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>
        <v>1</v>
      </c>
      <c r="S28" s="4">
        <v>2</v>
      </c>
      <c r="T28" s="4">
        <v>2</v>
      </c>
      <c r="U28" s="4">
        <v>20</v>
      </c>
      <c r="V28" s="4">
        <v>26</v>
      </c>
      <c r="W28" s="4">
        <v>30</v>
      </c>
      <c r="X28" s="4">
        <v>37</v>
      </c>
      <c r="Y28" s="4">
        <v>38</v>
      </c>
      <c r="Z28" s="4">
        <v>41</v>
      </c>
      <c r="AA28" s="4">
        <v>45</v>
      </c>
      <c r="AB28" s="4">
        <v>52</v>
      </c>
      <c r="AC28" s="4">
        <v>78</v>
      </c>
      <c r="AD28" s="92">
        <f>AC28-AB28</f>
        <v>26</v>
      </c>
    </row>
    <row r="29" spans="1:31" x14ac:dyDescent="0.25">
      <c r="A29" s="11"/>
      <c r="B29" s="7"/>
    </row>
    <row r="30" spans="1:31" x14ac:dyDescent="0.25">
      <c r="A30" s="12" t="s">
        <v>21</v>
      </c>
      <c r="B30" s="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31" x14ac:dyDescent="0.25">
      <c r="A31" s="3" t="s">
        <v>22</v>
      </c>
      <c r="B31" s="4"/>
      <c r="C31" s="14">
        <v>6</v>
      </c>
      <c r="D31" s="14"/>
      <c r="E31" s="14"/>
      <c r="F31" s="14"/>
      <c r="G31" s="14"/>
      <c r="H31" s="14"/>
      <c r="I31" s="14"/>
      <c r="J31" s="14"/>
      <c r="K31" s="14">
        <v>2</v>
      </c>
      <c r="L31" s="14">
        <v>2</v>
      </c>
      <c r="M31" s="14">
        <v>2</v>
      </c>
      <c r="N31" s="14">
        <v>2</v>
      </c>
      <c r="O31" s="14">
        <v>4</v>
      </c>
      <c r="P31" s="14">
        <v>4</v>
      </c>
      <c r="Q31" s="14">
        <v>4</v>
      </c>
      <c r="R31" s="14">
        <v>8</v>
      </c>
      <c r="S31" s="14">
        <v>13</v>
      </c>
      <c r="T31" s="14">
        <v>13</v>
      </c>
      <c r="U31" s="14">
        <v>25</v>
      </c>
      <c r="V31" s="14">
        <v>35</v>
      </c>
      <c r="W31" s="14">
        <v>55</v>
      </c>
      <c r="X31" s="14">
        <v>59</v>
      </c>
      <c r="Y31" s="14">
        <v>59</v>
      </c>
      <c r="Z31" s="14">
        <v>59</v>
      </c>
      <c r="AA31" s="14">
        <v>76</v>
      </c>
      <c r="AB31" s="14">
        <v>82</v>
      </c>
      <c r="AC31" s="14">
        <v>85</v>
      </c>
      <c r="AD31" s="92">
        <f>AC31-AB31</f>
        <v>3</v>
      </c>
    </row>
    <row r="32" spans="1:31" x14ac:dyDescent="0.25">
      <c r="A32" s="3" t="s">
        <v>139</v>
      </c>
      <c r="B32" s="4"/>
      <c r="C32" s="14">
        <v>1</v>
      </c>
      <c r="D32" s="14"/>
      <c r="E32" s="14"/>
      <c r="F32" s="14"/>
      <c r="G32" s="14">
        <v>8</v>
      </c>
      <c r="H32" s="14"/>
      <c r="I32" s="14"/>
      <c r="J32" s="14"/>
      <c r="K32" s="14">
        <v>13</v>
      </c>
      <c r="L32" s="14">
        <v>13</v>
      </c>
      <c r="M32" s="14">
        <v>18</v>
      </c>
      <c r="N32" s="14">
        <v>18</v>
      </c>
      <c r="O32" s="14">
        <v>26</v>
      </c>
      <c r="P32" s="14">
        <v>26</v>
      </c>
      <c r="Q32" s="14">
        <v>26</v>
      </c>
      <c r="R32" s="14">
        <v>50</v>
      </c>
      <c r="S32" s="14">
        <v>72</v>
      </c>
      <c r="T32" s="14">
        <v>72</v>
      </c>
      <c r="U32" s="14">
        <v>105</v>
      </c>
      <c r="V32" s="14">
        <v>148</v>
      </c>
      <c r="W32" s="14">
        <v>212</v>
      </c>
      <c r="X32" s="14">
        <v>225</v>
      </c>
      <c r="Y32" s="14">
        <v>225</v>
      </c>
      <c r="Z32" s="14">
        <v>225</v>
      </c>
      <c r="AA32" s="14">
        <v>290</v>
      </c>
      <c r="AB32" s="14">
        <v>343</v>
      </c>
      <c r="AC32" s="14">
        <v>388</v>
      </c>
      <c r="AD32" s="92">
        <f>AC32-AB32</f>
        <v>45</v>
      </c>
    </row>
    <row r="33" spans="1:30" x14ac:dyDescent="0.25">
      <c r="A33" s="3" t="s">
        <v>23</v>
      </c>
      <c r="B33" s="4"/>
      <c r="C33" s="14">
        <v>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>
        <v>4</v>
      </c>
      <c r="S33" s="14">
        <v>4</v>
      </c>
      <c r="T33" s="14">
        <v>4</v>
      </c>
      <c r="U33" s="14">
        <v>11</v>
      </c>
      <c r="V33" s="14">
        <v>18</v>
      </c>
      <c r="W33" s="14">
        <v>24</v>
      </c>
      <c r="X33" s="14">
        <v>26</v>
      </c>
      <c r="Y33" s="14">
        <v>26</v>
      </c>
      <c r="Z33" s="14">
        <v>26</v>
      </c>
      <c r="AA33" s="14">
        <v>30</v>
      </c>
      <c r="AB33" s="14">
        <v>38</v>
      </c>
      <c r="AC33" s="14">
        <v>46</v>
      </c>
      <c r="AD33" s="92">
        <f>AC33-AB33</f>
        <v>8</v>
      </c>
    </row>
    <row r="34" spans="1:30" x14ac:dyDescent="0.25">
      <c r="A34" s="3" t="s">
        <v>134</v>
      </c>
      <c r="B34" s="4"/>
      <c r="C34" s="14"/>
      <c r="D34" s="14"/>
      <c r="E34" s="14"/>
      <c r="F34" s="14"/>
      <c r="G34" s="14"/>
      <c r="H34" s="14"/>
      <c r="I34" s="14"/>
      <c r="J34" s="14"/>
      <c r="K34" s="14">
        <v>38</v>
      </c>
      <c r="L34" s="14">
        <v>38</v>
      </c>
      <c r="M34" s="14">
        <v>51</v>
      </c>
      <c r="N34" s="14">
        <v>51</v>
      </c>
      <c r="O34" s="14">
        <v>105</v>
      </c>
      <c r="P34" s="14">
        <v>105</v>
      </c>
      <c r="Q34" s="14">
        <v>105</v>
      </c>
      <c r="R34" s="14">
        <v>206</v>
      </c>
      <c r="S34" s="14">
        <v>225</v>
      </c>
      <c r="T34" s="14">
        <v>225</v>
      </c>
      <c r="U34" s="14">
        <v>444</v>
      </c>
      <c r="V34" s="14">
        <v>535</v>
      </c>
      <c r="W34" s="14">
        <v>692</v>
      </c>
      <c r="X34" s="14">
        <v>717</v>
      </c>
      <c r="Y34" s="14">
        <v>717</v>
      </c>
      <c r="Z34" s="14">
        <v>717</v>
      </c>
      <c r="AA34" s="14">
        <v>717</v>
      </c>
      <c r="AB34" s="14">
        <v>717</v>
      </c>
      <c r="AC34" s="14">
        <v>717</v>
      </c>
      <c r="AD34" s="92">
        <f>AC34-AB34</f>
        <v>0</v>
      </c>
    </row>
    <row r="35" spans="1:30" x14ac:dyDescent="0.25">
      <c r="A35" s="12" t="s">
        <v>24</v>
      </c>
      <c r="B35" s="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30" x14ac:dyDescent="0.25">
      <c r="A36" s="3" t="s">
        <v>18</v>
      </c>
      <c r="B36" s="4"/>
      <c r="C36" s="14"/>
      <c r="D36" s="14"/>
      <c r="E36" s="14"/>
      <c r="F36" s="14"/>
      <c r="G36" s="14"/>
      <c r="H36" s="14"/>
      <c r="I36" s="14">
        <f>1+6+1</f>
        <v>8</v>
      </c>
      <c r="J36" s="14"/>
      <c r="K36" s="14">
        <f>3+6+1</f>
        <v>10</v>
      </c>
      <c r="L36" s="14">
        <f>3+6+1</f>
        <v>10</v>
      </c>
      <c r="M36" s="14">
        <f>5+1+6+1</f>
        <v>13</v>
      </c>
      <c r="N36" s="14">
        <f>5+1+1+6+1</f>
        <v>14</v>
      </c>
      <c r="O36" s="14">
        <f>7+2+2+6+1</f>
        <v>18</v>
      </c>
      <c r="P36" s="14">
        <f>7+2+2+6+1</f>
        <v>18</v>
      </c>
      <c r="Q36" s="14">
        <f>14+2+2+7+1</f>
        <v>26</v>
      </c>
      <c r="R36" s="14">
        <f>20+2+2+1+6+1</f>
        <v>32</v>
      </c>
      <c r="S36" s="14">
        <f>26+3+3+1+6+1</f>
        <v>40</v>
      </c>
      <c r="T36" s="14">
        <f>33+4+3+1+6+1</f>
        <v>48</v>
      </c>
      <c r="U36" s="14">
        <f>51+8+8+1+6+2+2+1</f>
        <v>79</v>
      </c>
      <c r="V36" s="14">
        <f>76+8+9+3+6+3+2+1</f>
        <v>108</v>
      </c>
      <c r="W36" s="14">
        <f>108+18+14+8+6+6+4+1+3+1</f>
        <v>169</v>
      </c>
      <c r="X36" s="14">
        <f>109+18+13+8+6+7+4+1+4+1+1+1</f>
        <v>173</v>
      </c>
      <c r="Y36" s="14">
        <f>109+18+13+8+6+7+4+1+4+8+6+1+1</f>
        <v>186</v>
      </c>
      <c r="Z36" s="14">
        <f>109+17+13+9+6+7+4+1+16+3+6+1+2</f>
        <v>194</v>
      </c>
      <c r="AA36" s="14">
        <f>109+17+13+9+6+7+4+1+24+4+7+2+2</f>
        <v>205</v>
      </c>
      <c r="AB36" s="14">
        <f>109+17+13+10+6+7+4+1+33+4+7+2+7+3+3+3</f>
        <v>229</v>
      </c>
      <c r="AC36" s="14">
        <f>109+17+13+10+6+7+4+1+38+7+2+8+3+4+3</f>
        <v>232</v>
      </c>
      <c r="AD36" s="92">
        <f>AC36-AB36</f>
        <v>3</v>
      </c>
    </row>
    <row r="37" spans="1:30" x14ac:dyDescent="0.25">
      <c r="A37" s="3" t="s">
        <v>19</v>
      </c>
      <c r="B37" s="4"/>
      <c r="C37" s="14"/>
      <c r="D37" s="14"/>
      <c r="E37" s="14"/>
      <c r="F37" s="14"/>
      <c r="G37" s="14"/>
      <c r="H37" s="14"/>
      <c r="I37" s="14">
        <f>1</f>
        <v>1</v>
      </c>
      <c r="J37" s="14"/>
      <c r="K37" s="14">
        <f>2</f>
        <v>2</v>
      </c>
      <c r="L37" s="14">
        <f>2</f>
        <v>2</v>
      </c>
      <c r="M37" s="14">
        <f>2</f>
        <v>2</v>
      </c>
      <c r="N37" s="14">
        <f>2</f>
        <v>2</v>
      </c>
      <c r="O37" s="14">
        <f>4+2</f>
        <v>6</v>
      </c>
      <c r="P37" s="14">
        <f>4+2</f>
        <v>6</v>
      </c>
      <c r="Q37" s="14">
        <f>6+2</f>
        <v>8</v>
      </c>
      <c r="R37" s="14">
        <f>5+3</f>
        <v>8</v>
      </c>
      <c r="S37" s="14">
        <f>7+4</f>
        <v>11</v>
      </c>
      <c r="T37" s="14">
        <f>8+6+1+1</f>
        <v>16</v>
      </c>
      <c r="U37" s="14">
        <f>16+4+16+4+5+1</f>
        <v>46</v>
      </c>
      <c r="V37" s="14">
        <f>22+15+7+2</f>
        <v>46</v>
      </c>
      <c r="W37" s="14">
        <f>34+10+52+3+25+7+2+1+1+2</f>
        <v>137</v>
      </c>
      <c r="X37" s="14">
        <f>35+10+53+3+25+8+2+1+1+2</f>
        <v>140</v>
      </c>
      <c r="Y37" s="14">
        <f>36+10+53+3+27+8+2+3+1+2+2</f>
        <v>147</v>
      </c>
      <c r="Z37" s="14">
        <f>37+10+58+3+28+9+2+6+4+4+3</f>
        <v>164</v>
      </c>
      <c r="AA37" s="14">
        <f>39+10+60+3+28+9+2+6+1+9+5+7</f>
        <v>179</v>
      </c>
      <c r="AB37" s="14">
        <f>39+10+60+3+28+9+2+10+1+1+13+7+6</f>
        <v>189</v>
      </c>
      <c r="AC37" s="14">
        <f>39+10+60+3+28+9+2+10+3+2+13+7+8</f>
        <v>194</v>
      </c>
      <c r="AD37" s="92">
        <f>AC37-AB37</f>
        <v>5</v>
      </c>
    </row>
    <row r="38" spans="1:30" x14ac:dyDescent="0.25">
      <c r="A38" s="3" t="s">
        <v>20</v>
      </c>
      <c r="B38" s="4"/>
      <c r="C38" s="14"/>
      <c r="D38" s="14"/>
      <c r="E38" s="14"/>
      <c r="F38" s="14"/>
      <c r="G38" s="14"/>
      <c r="H38" s="14"/>
      <c r="I38" s="14">
        <f>4+2+1+1</f>
        <v>8</v>
      </c>
      <c r="J38" s="14"/>
      <c r="K38" s="14">
        <f>6+4+1+1+1</f>
        <v>13</v>
      </c>
      <c r="L38" s="14">
        <f>6+4+1+1+1</f>
        <v>13</v>
      </c>
      <c r="M38" s="14">
        <f>11+4+1+1+3</f>
        <v>20</v>
      </c>
      <c r="N38" s="14">
        <f>11+6+1+1+1+1+3</f>
        <v>24</v>
      </c>
      <c r="O38" s="14">
        <f>12+8+1+1+1+1+3</f>
        <v>27</v>
      </c>
      <c r="P38" s="14">
        <f>12+8+1+1+1+1+3</f>
        <v>27</v>
      </c>
      <c r="Q38" s="14">
        <f>16+9+4+1+1+1+5</f>
        <v>37</v>
      </c>
      <c r="R38" s="14">
        <f>17+9+6+1+1+1+6</f>
        <v>41</v>
      </c>
      <c r="S38" s="14">
        <f>24+10+11+1+1+1+6</f>
        <v>54</v>
      </c>
      <c r="T38" s="14">
        <f>26+11+11+1+1+1+6</f>
        <v>57</v>
      </c>
      <c r="U38" s="14">
        <f>34+18+16+3+1+1+1+8</f>
        <v>82</v>
      </c>
      <c r="V38" s="14">
        <f>46+25+25+3+1+1+1+10</f>
        <v>112</v>
      </c>
      <c r="W38" s="14">
        <f>54+37+40+10+8+1+1+1+2+10+2+1+2</f>
        <v>169</v>
      </c>
      <c r="X38" s="14">
        <f>54+37+41+10+8+1+1+1+2+1+11+6+2+1+3</f>
        <v>179</v>
      </c>
      <c r="Y38" s="14">
        <f>54+37+41+10+8+1+1+1+2+1+11+10+2+3+7+1</f>
        <v>190</v>
      </c>
      <c r="Z38" s="14">
        <f>54+37+41+10+8+1+1+1+2+1+11+13+4+1+6+10</f>
        <v>201</v>
      </c>
      <c r="AA38" s="14">
        <f>57+39+40+10+8+1+1+1+3+1+11+18+4+2+12+11</f>
        <v>219</v>
      </c>
      <c r="AB38" s="14">
        <f>56+39+40+10+8+1+1+1+3+1+11+29+11+3+16+12+2</f>
        <v>244</v>
      </c>
      <c r="AC38" s="14">
        <f>56+39+39+10+8+1+1+1+3+1+11+43+16+3+21+20+4</f>
        <v>277</v>
      </c>
      <c r="AD38" s="92">
        <f>AC38-AB38</f>
        <v>33</v>
      </c>
    </row>
    <row r="39" spans="1:30" x14ac:dyDescent="0.25">
      <c r="A39" s="3" t="s">
        <v>117</v>
      </c>
      <c r="B39" s="4"/>
      <c r="C39" s="14"/>
      <c r="D39" s="14"/>
      <c r="E39" s="14"/>
      <c r="F39" s="14"/>
      <c r="G39" s="14"/>
      <c r="H39" s="14"/>
      <c r="I39" s="14">
        <v>1</v>
      </c>
      <c r="J39" s="14"/>
      <c r="K39" s="14">
        <v>3</v>
      </c>
      <c r="L39" s="14">
        <v>3</v>
      </c>
      <c r="M39" s="14">
        <f>2+1</f>
        <v>3</v>
      </c>
      <c r="N39" s="14">
        <f>2+1</f>
        <v>3</v>
      </c>
      <c r="O39" s="14">
        <f>3+1+1</f>
        <v>5</v>
      </c>
      <c r="P39" s="14">
        <f>3+1+1</f>
        <v>5</v>
      </c>
      <c r="Q39" s="14">
        <f>3+1+1+1</f>
        <v>6</v>
      </c>
      <c r="R39" s="14">
        <f>3+2+1+1</f>
        <v>7</v>
      </c>
      <c r="S39" s="14">
        <f>5+2+1+1</f>
        <v>9</v>
      </c>
      <c r="T39" s="14">
        <f>6+2+1+1</f>
        <v>10</v>
      </c>
      <c r="U39" s="14">
        <f>9+2+1+3+5</f>
        <v>20</v>
      </c>
      <c r="V39" s="14">
        <f>12+2+2+8+5</f>
        <v>29</v>
      </c>
      <c r="W39" s="14">
        <f>19+2+5+19+7+4</f>
        <v>56</v>
      </c>
      <c r="X39" s="14">
        <f>16+2+5+20+7+4+2+1+1</f>
        <v>58</v>
      </c>
      <c r="Y39" s="14">
        <f>17+2+5+21+7+4+4+1+1</f>
        <v>62</v>
      </c>
      <c r="Z39" s="14">
        <f>17+2+5+21+7+4+4+2+1</f>
        <v>63</v>
      </c>
      <c r="AA39" s="14">
        <f>17+2+5+22+7+4+1+6+1+2+5+2</f>
        <v>74</v>
      </c>
      <c r="AB39" s="14">
        <f>17+2+5+22+7+4+7+1+2+6+2</f>
        <v>75</v>
      </c>
      <c r="AC39" s="14">
        <f>17+2+5+22+7+4+7+1+2+7+2</f>
        <v>76</v>
      </c>
      <c r="AD39" s="92">
        <f>AC39-AB39</f>
        <v>1</v>
      </c>
    </row>
    <row r="40" spans="1:30" x14ac:dyDescent="0.25">
      <c r="A40" s="15" t="s">
        <v>194</v>
      </c>
      <c r="B40" s="7"/>
      <c r="W40">
        <v>120</v>
      </c>
      <c r="X40">
        <f>105+8+8+6+8+12+1</f>
        <v>148</v>
      </c>
      <c r="Y40">
        <f>113+10+9+6+8+14+1</f>
        <v>161</v>
      </c>
      <c r="Z40">
        <f>138+12+11+8+15+17+1</f>
        <v>202</v>
      </c>
      <c r="AA40">
        <f>151+12+13+9+15+17+1</f>
        <v>218</v>
      </c>
      <c r="AB40">
        <f>203+18+17+11+23+19+1</f>
        <v>292</v>
      </c>
      <c r="AC40">
        <f>276+24+23+11+28+22+1</f>
        <v>385</v>
      </c>
      <c r="AD40" s="92">
        <f>AC40-AB40</f>
        <v>93</v>
      </c>
    </row>
    <row r="41" spans="1:30" x14ac:dyDescent="0.25">
      <c r="A41" s="11"/>
      <c r="B41" s="7"/>
      <c r="AB41" s="44"/>
      <c r="AD41" s="92"/>
    </row>
  </sheetData>
  <pageMargins left="0.7" right="0.7" top="0.75" bottom="0.75" header="0.3" footer="0.3"/>
  <pageSetup paperSize="9" orientation="portrait" horizontalDpi="4294967293" verticalDpi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22"/>
  <sheetViews>
    <sheetView workbookViewId="0">
      <pane xSplit="3" ySplit="4" topLeftCell="F77" activePane="bottomRight" state="frozen"/>
      <selection pane="topRight" activeCell="D1" sqref="D1"/>
      <selection pane="bottomLeft" activeCell="A5" sqref="A5"/>
      <selection pane="bottomRight" activeCell="C116" sqref="C116"/>
    </sheetView>
  </sheetViews>
  <sheetFormatPr defaultColWidth="8.7109375" defaultRowHeight="15" x14ac:dyDescent="0.25"/>
  <cols>
    <col min="1" max="1" width="6" customWidth="1"/>
    <col min="2" max="2" width="9.140625" customWidth="1"/>
    <col min="3" max="3" width="22.28515625" customWidth="1"/>
    <col min="4" max="4" width="7.140625" customWidth="1"/>
    <col min="5" max="5" width="11.42578125" style="49" bestFit="1" customWidth="1"/>
    <col min="6" max="6" width="13.42578125" customWidth="1"/>
    <col min="7" max="7" width="13.140625" customWidth="1"/>
    <col min="8" max="8" width="13.28515625" customWidth="1"/>
    <col min="9" max="9" width="16.42578125" bestFit="1" customWidth="1"/>
  </cols>
  <sheetData>
    <row r="1" spans="1:12" x14ac:dyDescent="0.25">
      <c r="A1" s="20"/>
      <c r="B1" s="21"/>
      <c r="C1" s="22" t="s">
        <v>27</v>
      </c>
      <c r="D1" s="22"/>
      <c r="E1" s="47" t="s">
        <v>28</v>
      </c>
      <c r="F1" s="23" t="s">
        <v>29</v>
      </c>
      <c r="G1" s="24" t="s">
        <v>30</v>
      </c>
      <c r="H1" s="25" t="s">
        <v>114</v>
      </c>
      <c r="I1" s="25"/>
    </row>
    <row r="2" spans="1:12" x14ac:dyDescent="0.25">
      <c r="A2" s="80" t="s">
        <v>63</v>
      </c>
      <c r="B2" s="81"/>
      <c r="C2" s="51">
        <f>F101+G101+H101</f>
        <v>519847</v>
      </c>
      <c r="D2" s="51"/>
      <c r="E2" s="69" t="s">
        <v>113</v>
      </c>
      <c r="F2" s="78">
        <v>518202</v>
      </c>
      <c r="G2" s="70" t="s">
        <v>111</v>
      </c>
      <c r="H2" s="71">
        <f>C4-C2</f>
        <v>-72847</v>
      </c>
      <c r="I2" s="70"/>
      <c r="J2" t="s">
        <v>141</v>
      </c>
    </row>
    <row r="3" spans="1:12" x14ac:dyDescent="0.25">
      <c r="A3" s="72"/>
      <c r="B3" s="73"/>
      <c r="C3" s="74"/>
      <c r="D3" s="74"/>
      <c r="E3" s="96"/>
      <c r="F3" s="75"/>
      <c r="G3" s="76"/>
      <c r="H3" s="77"/>
      <c r="I3" s="50"/>
      <c r="J3" s="89">
        <f>J101</f>
        <v>166</v>
      </c>
    </row>
    <row r="4" spans="1:12" x14ac:dyDescent="0.25">
      <c r="A4" s="68" t="s">
        <v>110</v>
      </c>
      <c r="B4" s="67"/>
      <c r="C4" s="67">
        <f>F4+G4+H4</f>
        <v>447000</v>
      </c>
      <c r="D4" s="67"/>
      <c r="E4" s="67"/>
      <c r="F4" s="67">
        <v>10000</v>
      </c>
      <c r="G4" s="86">
        <v>390000</v>
      </c>
      <c r="H4" s="87">
        <f>8000+5000+2000+32000</f>
        <v>47000</v>
      </c>
      <c r="I4" s="26" t="s">
        <v>66</v>
      </c>
      <c r="J4" t="s">
        <v>140</v>
      </c>
    </row>
    <row r="5" spans="1:12" x14ac:dyDescent="0.25">
      <c r="A5" s="27"/>
      <c r="B5" s="28"/>
      <c r="C5" s="29"/>
      <c r="D5" s="29"/>
      <c r="E5" s="48"/>
      <c r="F5" s="30"/>
      <c r="G5" s="31"/>
      <c r="H5" s="32"/>
      <c r="I5" s="11"/>
    </row>
    <row r="6" spans="1:12" x14ac:dyDescent="0.25">
      <c r="A6" s="34">
        <v>1</v>
      </c>
      <c r="B6" s="33" t="s">
        <v>33</v>
      </c>
      <c r="C6" s="29" t="s">
        <v>68</v>
      </c>
      <c r="D6" s="29" t="s">
        <v>215</v>
      </c>
      <c r="E6" s="49">
        <v>29</v>
      </c>
      <c r="F6" s="36" t="s">
        <v>193</v>
      </c>
      <c r="G6" s="44">
        <v>19200</v>
      </c>
      <c r="H6" s="44"/>
      <c r="I6" s="56" t="s">
        <v>69</v>
      </c>
      <c r="J6">
        <v>6</v>
      </c>
    </row>
    <row r="7" spans="1:12" x14ac:dyDescent="0.25">
      <c r="A7" s="34">
        <v>2</v>
      </c>
      <c r="B7" s="33" t="s">
        <v>33</v>
      </c>
      <c r="C7" s="29" t="s">
        <v>82</v>
      </c>
      <c r="D7" s="29"/>
      <c r="E7" s="49">
        <v>34</v>
      </c>
      <c r="F7" s="36" t="s">
        <v>193</v>
      </c>
      <c r="G7" s="44">
        <v>19200</v>
      </c>
      <c r="H7" s="44">
        <v>695</v>
      </c>
      <c r="I7" s="59" t="s">
        <v>83</v>
      </c>
      <c r="J7">
        <v>6</v>
      </c>
    </row>
    <row r="8" spans="1:12" x14ac:dyDescent="0.25">
      <c r="A8" s="34">
        <v>3</v>
      </c>
      <c r="B8" s="33" t="s">
        <v>33</v>
      </c>
      <c r="C8" s="35" t="s">
        <v>36</v>
      </c>
      <c r="D8" s="35" t="s">
        <v>215</v>
      </c>
      <c r="E8" s="48">
        <v>99</v>
      </c>
      <c r="F8" s="36" t="s">
        <v>193</v>
      </c>
      <c r="G8" s="31">
        <v>19200</v>
      </c>
      <c r="H8" s="46">
        <f>2395+695</f>
        <v>3090</v>
      </c>
      <c r="I8" s="6" t="s">
        <v>69</v>
      </c>
      <c r="J8">
        <v>6</v>
      </c>
    </row>
    <row r="9" spans="1:12" x14ac:dyDescent="0.25">
      <c r="A9" s="34">
        <v>4</v>
      </c>
      <c r="B9" s="33" t="s">
        <v>33</v>
      </c>
      <c r="C9" s="29" t="s">
        <v>84</v>
      </c>
      <c r="D9" s="29" t="s">
        <v>215</v>
      </c>
      <c r="E9" s="49">
        <v>1</v>
      </c>
      <c r="F9" s="36"/>
      <c r="G9" s="44">
        <v>15360</v>
      </c>
      <c r="H9" s="44" t="s">
        <v>116</v>
      </c>
      <c r="I9" s="61" t="s">
        <v>85</v>
      </c>
      <c r="J9">
        <v>6</v>
      </c>
    </row>
    <row r="10" spans="1:12" x14ac:dyDescent="0.25">
      <c r="A10" s="34">
        <v>5</v>
      </c>
      <c r="B10" s="33" t="s">
        <v>33</v>
      </c>
      <c r="C10" s="29" t="s">
        <v>37</v>
      </c>
      <c r="D10" s="29" t="s">
        <v>215</v>
      </c>
      <c r="E10" s="48">
        <v>74</v>
      </c>
      <c r="F10" s="36" t="s">
        <v>193</v>
      </c>
      <c r="G10" s="31">
        <v>19200</v>
      </c>
      <c r="H10" s="32" t="s">
        <v>115</v>
      </c>
      <c r="I10" s="58" t="s">
        <v>72</v>
      </c>
      <c r="J10">
        <v>6</v>
      </c>
      <c r="L10" t="s">
        <v>146</v>
      </c>
    </row>
    <row r="11" spans="1:12" x14ac:dyDescent="0.25">
      <c r="A11" s="34">
        <v>6</v>
      </c>
      <c r="B11" s="33" t="s">
        <v>33</v>
      </c>
      <c r="C11" s="29" t="s">
        <v>86</v>
      </c>
      <c r="D11" s="29"/>
      <c r="E11" s="49">
        <v>64</v>
      </c>
      <c r="F11" s="36"/>
      <c r="G11" s="44">
        <v>16000</v>
      </c>
      <c r="H11" s="44"/>
      <c r="I11" s="59" t="s">
        <v>104</v>
      </c>
      <c r="J11">
        <v>6</v>
      </c>
    </row>
    <row r="12" spans="1:12" x14ac:dyDescent="0.25">
      <c r="A12" s="34">
        <v>7</v>
      </c>
      <c r="B12" s="33" t="s">
        <v>33</v>
      </c>
      <c r="C12" s="29" t="s">
        <v>35</v>
      </c>
      <c r="D12" s="29" t="s">
        <v>215</v>
      </c>
      <c r="E12" s="48">
        <v>48</v>
      </c>
      <c r="F12" s="45">
        <v>1995</v>
      </c>
      <c r="G12" s="31">
        <v>22400</v>
      </c>
      <c r="H12" s="37"/>
      <c r="I12" s="57" t="s">
        <v>71</v>
      </c>
      <c r="J12">
        <v>6</v>
      </c>
      <c r="L12" t="s">
        <v>146</v>
      </c>
    </row>
    <row r="13" spans="1:12" x14ac:dyDescent="0.25">
      <c r="A13" s="34">
        <v>8</v>
      </c>
      <c r="B13" s="33" t="s">
        <v>33</v>
      </c>
      <c r="C13" s="35" t="s">
        <v>32</v>
      </c>
      <c r="D13" s="35" t="s">
        <v>215</v>
      </c>
      <c r="E13" s="48">
        <v>73</v>
      </c>
      <c r="F13" s="44">
        <v>1000</v>
      </c>
      <c r="G13" s="31">
        <v>38400</v>
      </c>
      <c r="H13" s="32"/>
      <c r="I13" s="55" t="s">
        <v>69</v>
      </c>
      <c r="J13">
        <v>6</v>
      </c>
      <c r="L13" t="s">
        <v>146</v>
      </c>
    </row>
    <row r="14" spans="1:12" x14ac:dyDescent="0.25">
      <c r="A14" s="34">
        <v>9</v>
      </c>
      <c r="B14" s="33" t="s">
        <v>33</v>
      </c>
      <c r="C14" s="29" t="s">
        <v>38</v>
      </c>
      <c r="D14" s="29" t="s">
        <v>215</v>
      </c>
      <c r="E14" s="48">
        <v>59</v>
      </c>
      <c r="F14" s="36" t="s">
        <v>193</v>
      </c>
      <c r="G14" s="44">
        <v>19200</v>
      </c>
      <c r="I14" s="59" t="s">
        <v>67</v>
      </c>
      <c r="J14">
        <v>6</v>
      </c>
    </row>
    <row r="15" spans="1:12" x14ac:dyDescent="0.25">
      <c r="A15" s="34"/>
      <c r="B15" s="33"/>
      <c r="C15" s="29"/>
      <c r="D15" s="29"/>
      <c r="E15" s="48"/>
      <c r="F15" s="36"/>
      <c r="G15" s="44"/>
      <c r="I15" s="59"/>
    </row>
    <row r="16" spans="1:12" x14ac:dyDescent="0.25">
      <c r="A16" s="34">
        <v>10</v>
      </c>
      <c r="B16" s="33" t="s">
        <v>31</v>
      </c>
      <c r="C16" t="s">
        <v>131</v>
      </c>
      <c r="E16" s="49">
        <v>20</v>
      </c>
      <c r="G16" s="44">
        <v>2970</v>
      </c>
      <c r="H16" s="44"/>
      <c r="I16" s="61" t="s">
        <v>130</v>
      </c>
      <c r="J16">
        <v>1</v>
      </c>
    </row>
    <row r="17" spans="1:10" x14ac:dyDescent="0.25">
      <c r="A17" s="34">
        <v>11</v>
      </c>
      <c r="B17" s="33" t="s">
        <v>31</v>
      </c>
      <c r="C17" t="s">
        <v>127</v>
      </c>
      <c r="E17" s="49">
        <v>56</v>
      </c>
      <c r="G17" s="44">
        <v>2040</v>
      </c>
      <c r="H17" s="44"/>
      <c r="I17" s="62" t="s">
        <v>77</v>
      </c>
      <c r="J17">
        <v>1</v>
      </c>
    </row>
    <row r="18" spans="1:10" x14ac:dyDescent="0.25">
      <c r="A18" s="34">
        <v>12</v>
      </c>
      <c r="B18" s="33" t="s">
        <v>31</v>
      </c>
      <c r="C18" t="s">
        <v>128</v>
      </c>
      <c r="E18" s="49">
        <v>96</v>
      </c>
      <c r="G18" s="44" t="s">
        <v>155</v>
      </c>
      <c r="H18" s="44"/>
      <c r="I18" s="62"/>
      <c r="J18">
        <v>1</v>
      </c>
    </row>
    <row r="19" spans="1:10" x14ac:dyDescent="0.25">
      <c r="A19" s="34">
        <v>13</v>
      </c>
      <c r="B19" s="33" t="s">
        <v>31</v>
      </c>
      <c r="C19" t="s">
        <v>59</v>
      </c>
      <c r="E19" s="49">
        <v>37</v>
      </c>
      <c r="F19" s="44">
        <v>495</v>
      </c>
      <c r="G19" s="44">
        <v>2040</v>
      </c>
      <c r="I19" t="s">
        <v>69</v>
      </c>
      <c r="J19">
        <v>1</v>
      </c>
    </row>
    <row r="20" spans="1:10" x14ac:dyDescent="0.25">
      <c r="A20" s="34">
        <v>14</v>
      </c>
      <c r="B20" s="33" t="s">
        <v>31</v>
      </c>
      <c r="C20" t="s">
        <v>53</v>
      </c>
      <c r="E20" s="49">
        <v>15</v>
      </c>
      <c r="G20" s="44">
        <v>6400</v>
      </c>
      <c r="H20" s="44">
        <v>1295</v>
      </c>
      <c r="I20" s="60" t="s">
        <v>76</v>
      </c>
      <c r="J20">
        <v>1</v>
      </c>
    </row>
    <row r="21" spans="1:10" x14ac:dyDescent="0.25">
      <c r="A21" s="34">
        <v>15</v>
      </c>
      <c r="B21" s="33" t="s">
        <v>31</v>
      </c>
      <c r="C21" t="s">
        <v>41</v>
      </c>
      <c r="E21" s="49">
        <v>63</v>
      </c>
      <c r="G21" s="44">
        <v>9600</v>
      </c>
      <c r="H21" s="44"/>
      <c r="I21" s="60" t="s">
        <v>75</v>
      </c>
      <c r="J21">
        <v>5</v>
      </c>
    </row>
    <row r="22" spans="1:10" x14ac:dyDescent="0.25">
      <c r="A22" s="34">
        <v>16</v>
      </c>
      <c r="B22" s="33" t="s">
        <v>31</v>
      </c>
      <c r="C22" t="s">
        <v>74</v>
      </c>
      <c r="E22" s="49">
        <v>61</v>
      </c>
      <c r="G22" s="44">
        <v>8640</v>
      </c>
      <c r="H22" s="44"/>
      <c r="J22">
        <v>4</v>
      </c>
    </row>
    <row r="23" spans="1:10" x14ac:dyDescent="0.25">
      <c r="A23" s="34">
        <v>17</v>
      </c>
      <c r="B23" s="33" t="s">
        <v>31</v>
      </c>
      <c r="C23" s="61" t="s">
        <v>42</v>
      </c>
      <c r="D23" s="61"/>
      <c r="E23" s="90" t="s">
        <v>154</v>
      </c>
      <c r="G23" s="91" t="s">
        <v>155</v>
      </c>
      <c r="H23" s="44"/>
      <c r="I23" t="s">
        <v>69</v>
      </c>
      <c r="J23">
        <v>4</v>
      </c>
    </row>
    <row r="24" spans="1:10" x14ac:dyDescent="0.25">
      <c r="A24" s="34">
        <v>18</v>
      </c>
      <c r="B24" s="33" t="s">
        <v>31</v>
      </c>
      <c r="C24" t="s">
        <v>43</v>
      </c>
      <c r="E24" s="49">
        <v>46</v>
      </c>
      <c r="G24" s="44">
        <v>7680</v>
      </c>
      <c r="H24" s="44"/>
      <c r="I24" s="60" t="s">
        <v>76</v>
      </c>
      <c r="J24">
        <v>4</v>
      </c>
    </row>
    <row r="25" spans="1:10" x14ac:dyDescent="0.25">
      <c r="A25" s="34">
        <v>19</v>
      </c>
      <c r="B25" s="33" t="s">
        <v>31</v>
      </c>
      <c r="C25" t="s">
        <v>129</v>
      </c>
      <c r="E25" s="49">
        <v>78</v>
      </c>
      <c r="G25" s="44">
        <v>2040</v>
      </c>
      <c r="H25" s="44"/>
      <c r="J25">
        <v>1</v>
      </c>
    </row>
    <row r="26" spans="1:10" x14ac:dyDescent="0.25">
      <c r="A26" s="34">
        <v>20</v>
      </c>
      <c r="B26" s="33" t="s">
        <v>31</v>
      </c>
      <c r="C26" t="s">
        <v>44</v>
      </c>
      <c r="E26" s="49">
        <v>35</v>
      </c>
      <c r="G26" s="44">
        <v>7680</v>
      </c>
      <c r="H26" s="44">
        <v>1295</v>
      </c>
      <c r="I26" s="62" t="s">
        <v>77</v>
      </c>
      <c r="J26">
        <v>4</v>
      </c>
    </row>
    <row r="27" spans="1:10" x14ac:dyDescent="0.25">
      <c r="A27" s="34">
        <v>21</v>
      </c>
      <c r="B27" s="33" t="s">
        <v>31</v>
      </c>
      <c r="C27" t="s">
        <v>89</v>
      </c>
      <c r="E27" s="49">
        <v>82</v>
      </c>
      <c r="G27" s="44">
        <v>2720</v>
      </c>
      <c r="H27" s="44"/>
      <c r="I27" s="61" t="s">
        <v>90</v>
      </c>
      <c r="J27">
        <v>1</v>
      </c>
    </row>
    <row r="28" spans="1:10" x14ac:dyDescent="0.25">
      <c r="A28" s="34">
        <v>22</v>
      </c>
      <c r="B28" s="33" t="s">
        <v>31</v>
      </c>
      <c r="C28" t="s">
        <v>46</v>
      </c>
      <c r="E28" s="49" t="s">
        <v>60</v>
      </c>
      <c r="G28" s="44">
        <v>5760</v>
      </c>
      <c r="H28" s="44"/>
      <c r="I28" s="60" t="s">
        <v>78</v>
      </c>
      <c r="J28">
        <v>2</v>
      </c>
    </row>
    <row r="29" spans="1:10" x14ac:dyDescent="0.25">
      <c r="A29" s="34">
        <v>23</v>
      </c>
      <c r="B29" s="33" t="s">
        <v>31</v>
      </c>
      <c r="C29" s="61" t="s">
        <v>54</v>
      </c>
      <c r="D29" s="61"/>
      <c r="E29" s="90">
        <v>77</v>
      </c>
      <c r="F29" s="61"/>
      <c r="G29" s="91">
        <v>510</v>
      </c>
      <c r="H29" s="44"/>
      <c r="I29" s="61" t="s">
        <v>190</v>
      </c>
    </row>
    <row r="30" spans="1:10" x14ac:dyDescent="0.25">
      <c r="A30" s="34">
        <v>24</v>
      </c>
      <c r="B30" s="33" t="s">
        <v>31</v>
      </c>
      <c r="C30" t="s">
        <v>45</v>
      </c>
      <c r="E30" s="49">
        <v>87</v>
      </c>
      <c r="G30" s="44">
        <v>7680</v>
      </c>
      <c r="H30" s="44"/>
      <c r="I30" s="60" t="s">
        <v>79</v>
      </c>
      <c r="J30">
        <v>4</v>
      </c>
    </row>
    <row r="31" spans="1:10" x14ac:dyDescent="0.25">
      <c r="A31" s="34">
        <v>25</v>
      </c>
      <c r="B31" s="33" t="s">
        <v>31</v>
      </c>
      <c r="C31" t="s">
        <v>108</v>
      </c>
      <c r="E31" s="49">
        <v>86</v>
      </c>
      <c r="F31">
        <v>495</v>
      </c>
      <c r="G31" s="44">
        <v>7680</v>
      </c>
      <c r="H31" s="44"/>
      <c r="I31" s="60" t="s">
        <v>76</v>
      </c>
      <c r="J31">
        <v>4</v>
      </c>
    </row>
    <row r="32" spans="1:10" x14ac:dyDescent="0.25">
      <c r="A32" s="34">
        <v>26</v>
      </c>
      <c r="B32" s="33" t="s">
        <v>31</v>
      </c>
      <c r="C32" t="s">
        <v>91</v>
      </c>
      <c r="E32" s="49" t="s">
        <v>92</v>
      </c>
      <c r="G32" s="44">
        <v>7040</v>
      </c>
      <c r="H32" s="44"/>
      <c r="I32" t="s">
        <v>69</v>
      </c>
      <c r="J32">
        <v>3</v>
      </c>
    </row>
    <row r="33" spans="1:10" x14ac:dyDescent="0.25">
      <c r="A33" s="34">
        <v>27</v>
      </c>
      <c r="B33" s="33" t="s">
        <v>31</v>
      </c>
      <c r="C33" t="s">
        <v>55</v>
      </c>
      <c r="E33" s="49">
        <v>39</v>
      </c>
      <c r="G33" s="44">
        <v>2040</v>
      </c>
      <c r="H33" s="44">
        <v>295</v>
      </c>
      <c r="I33" t="s">
        <v>69</v>
      </c>
      <c r="J33">
        <v>1</v>
      </c>
    </row>
    <row r="34" spans="1:10" x14ac:dyDescent="0.25">
      <c r="A34" s="34">
        <v>28</v>
      </c>
      <c r="B34" s="33" t="s">
        <v>31</v>
      </c>
      <c r="C34" t="s">
        <v>106</v>
      </c>
      <c r="G34" s="44">
        <v>12800</v>
      </c>
      <c r="H34" s="44"/>
      <c r="I34" s="60" t="s">
        <v>107</v>
      </c>
      <c r="J34">
        <v>6</v>
      </c>
    </row>
    <row r="35" spans="1:10" x14ac:dyDescent="0.25">
      <c r="A35" s="34">
        <v>29</v>
      </c>
      <c r="B35" s="33" t="s">
        <v>31</v>
      </c>
      <c r="C35" t="s">
        <v>52</v>
      </c>
      <c r="E35" s="49">
        <v>85</v>
      </c>
      <c r="G35" s="44">
        <v>2720</v>
      </c>
      <c r="H35" s="44"/>
      <c r="I35" s="63" t="s">
        <v>69</v>
      </c>
      <c r="J35">
        <v>1</v>
      </c>
    </row>
    <row r="36" spans="1:10" x14ac:dyDescent="0.25">
      <c r="A36" s="34">
        <v>30</v>
      </c>
      <c r="B36" s="33" t="s">
        <v>31</v>
      </c>
      <c r="C36" t="s">
        <v>56</v>
      </c>
      <c r="E36" s="49">
        <v>51</v>
      </c>
      <c r="G36" s="44">
        <v>2040</v>
      </c>
      <c r="H36" s="44">
        <v>695</v>
      </c>
      <c r="I36" t="s">
        <v>69</v>
      </c>
      <c r="J36">
        <v>1</v>
      </c>
    </row>
    <row r="37" spans="1:10" x14ac:dyDescent="0.25">
      <c r="A37" s="34">
        <v>31</v>
      </c>
      <c r="B37" s="33" t="s">
        <v>31</v>
      </c>
      <c r="C37" t="s">
        <v>47</v>
      </c>
      <c r="E37" s="49">
        <v>89</v>
      </c>
      <c r="G37" s="44">
        <v>9880</v>
      </c>
      <c r="H37" s="44"/>
      <c r="I37" s="62" t="s">
        <v>77</v>
      </c>
      <c r="J37">
        <v>2</v>
      </c>
    </row>
    <row r="38" spans="1:10" x14ac:dyDescent="0.25">
      <c r="A38" s="34">
        <v>32</v>
      </c>
      <c r="B38" s="33" t="s">
        <v>31</v>
      </c>
      <c r="C38" t="s">
        <v>49</v>
      </c>
      <c r="E38" s="49">
        <v>91</v>
      </c>
      <c r="F38">
        <v>500</v>
      </c>
      <c r="G38" s="44">
        <v>4080</v>
      </c>
      <c r="H38" s="44">
        <v>695</v>
      </c>
      <c r="I38" s="63" t="s">
        <v>69</v>
      </c>
      <c r="J38">
        <v>2</v>
      </c>
    </row>
    <row r="39" spans="1:10" x14ac:dyDescent="0.25">
      <c r="A39" s="34">
        <v>33</v>
      </c>
      <c r="B39" s="33" t="s">
        <v>31</v>
      </c>
      <c r="C39" t="s">
        <v>95</v>
      </c>
      <c r="E39" s="49">
        <v>81</v>
      </c>
      <c r="G39" s="44">
        <v>2720</v>
      </c>
      <c r="H39" s="44"/>
      <c r="I39" s="60" t="s">
        <v>96</v>
      </c>
      <c r="J39">
        <v>1</v>
      </c>
    </row>
    <row r="40" spans="1:10" x14ac:dyDescent="0.25">
      <c r="A40" s="34">
        <v>34</v>
      </c>
      <c r="B40" s="33" t="s">
        <v>31</v>
      </c>
      <c r="C40" t="s">
        <v>50</v>
      </c>
      <c r="E40" s="49">
        <v>2</v>
      </c>
      <c r="G40" s="44">
        <v>4080</v>
      </c>
      <c r="H40" s="44"/>
      <c r="I40" s="63" t="s">
        <v>69</v>
      </c>
      <c r="J40">
        <v>2</v>
      </c>
    </row>
    <row r="41" spans="1:10" x14ac:dyDescent="0.25">
      <c r="A41" s="34">
        <v>35</v>
      </c>
      <c r="B41" s="33" t="s">
        <v>31</v>
      </c>
      <c r="C41" t="s">
        <v>97</v>
      </c>
      <c r="E41" s="49">
        <v>6</v>
      </c>
      <c r="G41" s="44">
        <v>3060</v>
      </c>
      <c r="H41" s="44"/>
      <c r="I41" s="62" t="s">
        <v>77</v>
      </c>
      <c r="J41">
        <v>1</v>
      </c>
    </row>
    <row r="42" spans="1:10" x14ac:dyDescent="0.25">
      <c r="A42" s="34">
        <v>36</v>
      </c>
      <c r="B42" s="33" t="s">
        <v>31</v>
      </c>
      <c r="C42" t="s">
        <v>51</v>
      </c>
      <c r="E42" s="49">
        <v>25</v>
      </c>
      <c r="G42" s="44">
        <v>3060</v>
      </c>
      <c r="H42" s="44"/>
      <c r="I42" s="60" t="s">
        <v>81</v>
      </c>
      <c r="J42">
        <v>1</v>
      </c>
    </row>
    <row r="43" spans="1:10" x14ac:dyDescent="0.25">
      <c r="A43" s="34">
        <v>37</v>
      </c>
      <c r="B43" s="33" t="s">
        <v>31</v>
      </c>
      <c r="C43" t="s">
        <v>98</v>
      </c>
      <c r="E43" s="49">
        <v>88</v>
      </c>
      <c r="G43" s="44">
        <v>7680</v>
      </c>
      <c r="H43" s="44"/>
      <c r="I43" s="60" t="s">
        <v>69</v>
      </c>
      <c r="J43">
        <v>4</v>
      </c>
    </row>
    <row r="44" spans="1:10" x14ac:dyDescent="0.25">
      <c r="A44" s="34">
        <v>38</v>
      </c>
      <c r="B44" s="33" t="s">
        <v>31</v>
      </c>
      <c r="C44" t="s">
        <v>48</v>
      </c>
      <c r="E44" s="49">
        <v>60</v>
      </c>
      <c r="G44" s="44">
        <v>5440</v>
      </c>
      <c r="H44" s="44"/>
      <c r="I44" s="60" t="s">
        <v>80</v>
      </c>
      <c r="J44">
        <v>3</v>
      </c>
    </row>
    <row r="45" spans="1:10" x14ac:dyDescent="0.25">
      <c r="A45" s="34">
        <v>39</v>
      </c>
      <c r="B45" s="33" t="s">
        <v>31</v>
      </c>
      <c r="C45" t="s">
        <v>40</v>
      </c>
      <c r="E45" s="48">
        <v>92</v>
      </c>
      <c r="F45">
        <v>5000</v>
      </c>
      <c r="G45" s="44">
        <v>11200</v>
      </c>
      <c r="H45" s="44">
        <v>1295</v>
      </c>
      <c r="I45" s="61" t="s">
        <v>73</v>
      </c>
      <c r="J45">
        <v>5</v>
      </c>
    </row>
    <row r="46" spans="1:10" x14ac:dyDescent="0.25">
      <c r="A46" s="34">
        <v>40</v>
      </c>
      <c r="B46" s="33" t="s">
        <v>31</v>
      </c>
      <c r="C46" t="s">
        <v>105</v>
      </c>
      <c r="E46" s="49">
        <v>58</v>
      </c>
      <c r="G46" s="44">
        <v>2720</v>
      </c>
      <c r="H46" s="44"/>
      <c r="I46" s="62" t="s">
        <v>77</v>
      </c>
      <c r="J46">
        <v>1</v>
      </c>
    </row>
    <row r="47" spans="1:10" x14ac:dyDescent="0.25">
      <c r="A47" s="34">
        <v>41</v>
      </c>
      <c r="B47" s="33" t="s">
        <v>31</v>
      </c>
      <c r="C47" t="s">
        <v>99</v>
      </c>
      <c r="E47" s="49">
        <v>75</v>
      </c>
      <c r="G47" s="44">
        <v>5120</v>
      </c>
      <c r="H47" s="44"/>
      <c r="I47" s="61" t="s">
        <v>100</v>
      </c>
      <c r="J47">
        <v>3</v>
      </c>
    </row>
    <row r="48" spans="1:10" x14ac:dyDescent="0.25">
      <c r="A48" s="34">
        <v>42</v>
      </c>
      <c r="B48" s="33" t="s">
        <v>31</v>
      </c>
      <c r="C48" t="s">
        <v>125</v>
      </c>
      <c r="E48" s="49">
        <v>90</v>
      </c>
      <c r="G48" s="44">
        <v>3060</v>
      </c>
      <c r="H48" s="44"/>
      <c r="I48" s="62" t="s">
        <v>77</v>
      </c>
      <c r="J48">
        <v>1</v>
      </c>
    </row>
    <row r="49" spans="1:10" x14ac:dyDescent="0.25">
      <c r="A49" s="34">
        <v>43</v>
      </c>
      <c r="B49" s="33" t="s">
        <v>31</v>
      </c>
      <c r="C49" t="s">
        <v>124</v>
      </c>
      <c r="E49" s="49" t="s">
        <v>94</v>
      </c>
      <c r="G49" s="44">
        <v>2170</v>
      </c>
      <c r="H49" s="44"/>
      <c r="I49" t="s">
        <v>69</v>
      </c>
      <c r="J49">
        <v>1</v>
      </c>
    </row>
    <row r="50" spans="1:10" x14ac:dyDescent="0.25">
      <c r="A50" s="34">
        <v>44</v>
      </c>
      <c r="B50" s="33" t="s">
        <v>31</v>
      </c>
      <c r="C50" t="s">
        <v>101</v>
      </c>
      <c r="E50" s="49">
        <v>57</v>
      </c>
      <c r="G50" s="44">
        <v>2720</v>
      </c>
      <c r="H50" s="44"/>
      <c r="I50" t="s">
        <v>69</v>
      </c>
      <c r="J50">
        <v>1</v>
      </c>
    </row>
    <row r="51" spans="1:10" x14ac:dyDescent="0.25">
      <c r="A51" s="34">
        <v>45</v>
      </c>
      <c r="B51" s="33" t="s">
        <v>31</v>
      </c>
      <c r="C51" t="s">
        <v>143</v>
      </c>
      <c r="E51" s="49">
        <v>36</v>
      </c>
      <c r="G51" s="44">
        <v>4080</v>
      </c>
      <c r="H51" s="44"/>
      <c r="I51" s="62" t="s">
        <v>77</v>
      </c>
      <c r="J51">
        <v>2</v>
      </c>
    </row>
    <row r="52" spans="1:10" x14ac:dyDescent="0.25">
      <c r="A52" s="34">
        <v>46</v>
      </c>
      <c r="B52" s="33" t="s">
        <v>31</v>
      </c>
      <c r="C52" t="s">
        <v>144</v>
      </c>
      <c r="E52" s="49">
        <v>47</v>
      </c>
      <c r="G52" s="44">
        <v>5440</v>
      </c>
      <c r="H52" s="44"/>
      <c r="I52" s="61" t="s">
        <v>100</v>
      </c>
      <c r="J52">
        <v>2</v>
      </c>
    </row>
    <row r="53" spans="1:10" x14ac:dyDescent="0.25">
      <c r="A53" s="34">
        <v>47</v>
      </c>
      <c r="B53" s="33" t="s">
        <v>31</v>
      </c>
      <c r="C53" t="s">
        <v>145</v>
      </c>
      <c r="E53" s="49">
        <v>84</v>
      </c>
      <c r="G53" s="44">
        <v>2040</v>
      </c>
      <c r="H53" s="44"/>
      <c r="I53" s="61" t="s">
        <v>70</v>
      </c>
      <c r="J53">
        <v>1</v>
      </c>
    </row>
    <row r="54" spans="1:10" x14ac:dyDescent="0.25">
      <c r="A54" s="34">
        <v>48</v>
      </c>
      <c r="B54" s="33" t="s">
        <v>31</v>
      </c>
      <c r="C54" s="29" t="s">
        <v>39</v>
      </c>
      <c r="D54" s="29"/>
      <c r="E54" s="49">
        <v>75</v>
      </c>
      <c r="F54" s="36"/>
      <c r="G54" s="44">
        <v>4080</v>
      </c>
      <c r="H54" s="44" t="s">
        <v>116</v>
      </c>
      <c r="I54" s="61" t="s">
        <v>147</v>
      </c>
      <c r="J54">
        <v>2</v>
      </c>
    </row>
    <row r="55" spans="1:10" x14ac:dyDescent="0.25">
      <c r="A55" s="34">
        <v>49</v>
      </c>
      <c r="B55" s="33" t="s">
        <v>31</v>
      </c>
      <c r="C55" t="s">
        <v>150</v>
      </c>
      <c r="E55" s="49">
        <v>112</v>
      </c>
      <c r="G55" s="44">
        <v>2040</v>
      </c>
      <c r="H55" s="44"/>
      <c r="I55" s="62" t="s">
        <v>77</v>
      </c>
      <c r="J55">
        <v>1</v>
      </c>
    </row>
    <row r="56" spans="1:10" x14ac:dyDescent="0.25">
      <c r="A56" s="34">
        <v>50</v>
      </c>
      <c r="B56" s="33" t="s">
        <v>31</v>
      </c>
      <c r="C56" t="s">
        <v>151</v>
      </c>
      <c r="E56" s="49">
        <v>82</v>
      </c>
      <c r="G56" s="44">
        <v>1360</v>
      </c>
      <c r="H56" s="44"/>
      <c r="I56" s="62" t="s">
        <v>77</v>
      </c>
      <c r="J56">
        <v>1</v>
      </c>
    </row>
    <row r="57" spans="1:10" x14ac:dyDescent="0.25">
      <c r="A57" s="34">
        <v>51</v>
      </c>
      <c r="B57" s="33" t="s">
        <v>31</v>
      </c>
      <c r="C57" t="s">
        <v>156</v>
      </c>
      <c r="G57" s="44">
        <v>6400</v>
      </c>
      <c r="H57" s="44">
        <v>1590</v>
      </c>
      <c r="I57" s="60" t="s">
        <v>175</v>
      </c>
      <c r="J57">
        <v>3</v>
      </c>
    </row>
    <row r="58" spans="1:10" x14ac:dyDescent="0.25">
      <c r="A58" s="34">
        <v>52</v>
      </c>
      <c r="B58" s="33" t="s">
        <v>31</v>
      </c>
      <c r="C58" t="s">
        <v>158</v>
      </c>
      <c r="G58" s="44">
        <v>4080</v>
      </c>
      <c r="H58" s="44"/>
      <c r="I58" t="s">
        <v>69</v>
      </c>
      <c r="J58">
        <v>2</v>
      </c>
    </row>
    <row r="59" spans="1:10" x14ac:dyDescent="0.25">
      <c r="A59" s="34">
        <v>53</v>
      </c>
      <c r="B59" s="33" t="s">
        <v>31</v>
      </c>
      <c r="C59" t="s">
        <v>159</v>
      </c>
      <c r="G59" s="44">
        <v>1900</v>
      </c>
      <c r="H59" s="44"/>
      <c r="I59" t="s">
        <v>69</v>
      </c>
      <c r="J59">
        <v>1</v>
      </c>
    </row>
    <row r="60" spans="1:10" x14ac:dyDescent="0.25">
      <c r="A60" s="34">
        <v>54</v>
      </c>
      <c r="B60" s="33" t="s">
        <v>31</v>
      </c>
      <c r="C60" t="s">
        <v>160</v>
      </c>
      <c r="E60" s="49">
        <v>52</v>
      </c>
      <c r="G60" s="44">
        <v>2040</v>
      </c>
      <c r="H60" s="44"/>
      <c r="I60" s="62" t="s">
        <v>77</v>
      </c>
      <c r="J60">
        <v>1</v>
      </c>
    </row>
    <row r="61" spans="1:10" x14ac:dyDescent="0.25">
      <c r="A61" s="34">
        <v>55</v>
      </c>
      <c r="B61" s="33" t="s">
        <v>31</v>
      </c>
      <c r="C61" t="s">
        <v>163</v>
      </c>
      <c r="E61" s="49">
        <v>14</v>
      </c>
      <c r="G61" s="44">
        <v>6400</v>
      </c>
      <c r="H61" s="44">
        <f>695+795</f>
        <v>1490</v>
      </c>
      <c r="I61" t="s">
        <v>69</v>
      </c>
      <c r="J61">
        <v>3</v>
      </c>
    </row>
    <row r="62" spans="1:10" x14ac:dyDescent="0.25">
      <c r="A62" s="34">
        <v>56</v>
      </c>
      <c r="B62" s="33" t="s">
        <v>31</v>
      </c>
      <c r="C62" t="s">
        <v>164</v>
      </c>
      <c r="E62" s="49">
        <v>32</v>
      </c>
      <c r="G62" s="44">
        <v>2720</v>
      </c>
      <c r="H62" s="44"/>
      <c r="I62" s="62" t="s">
        <v>77</v>
      </c>
      <c r="J62">
        <v>1</v>
      </c>
    </row>
    <row r="63" spans="1:10" x14ac:dyDescent="0.25">
      <c r="A63" s="34">
        <v>57</v>
      </c>
      <c r="B63" s="33" t="s">
        <v>31</v>
      </c>
      <c r="C63" t="s">
        <v>165</v>
      </c>
      <c r="E63" s="49">
        <v>31</v>
      </c>
      <c r="G63" s="44">
        <v>3840</v>
      </c>
      <c r="H63" s="44"/>
      <c r="I63" s="61" t="s">
        <v>90</v>
      </c>
      <c r="J63">
        <v>2</v>
      </c>
    </row>
    <row r="64" spans="1:10" x14ac:dyDescent="0.25">
      <c r="A64" s="34">
        <v>58</v>
      </c>
      <c r="B64" s="33" t="s">
        <v>31</v>
      </c>
      <c r="C64" t="s">
        <v>171</v>
      </c>
      <c r="E64" s="49">
        <v>97</v>
      </c>
      <c r="G64" s="44">
        <v>2040</v>
      </c>
      <c r="H64" s="44">
        <v>695</v>
      </c>
      <c r="I64" s="62" t="s">
        <v>77</v>
      </c>
      <c r="J64">
        <v>1</v>
      </c>
    </row>
    <row r="65" spans="1:10" x14ac:dyDescent="0.25">
      <c r="A65" s="34">
        <v>59</v>
      </c>
      <c r="B65" s="33" t="s">
        <v>31</v>
      </c>
      <c r="C65" t="s">
        <v>172</v>
      </c>
      <c r="E65" s="49">
        <v>62</v>
      </c>
      <c r="G65" s="44">
        <v>8160</v>
      </c>
      <c r="H65" s="44"/>
      <c r="I65" s="62" t="s">
        <v>77</v>
      </c>
      <c r="J65">
        <v>4</v>
      </c>
    </row>
    <row r="66" spans="1:10" x14ac:dyDescent="0.25">
      <c r="A66" s="34">
        <v>60</v>
      </c>
      <c r="B66" s="33" t="s">
        <v>31</v>
      </c>
      <c r="C66" t="s">
        <v>173</v>
      </c>
      <c r="E66" s="49">
        <v>94</v>
      </c>
      <c r="G66" s="44">
        <v>2040</v>
      </c>
      <c r="H66" s="44"/>
      <c r="I66" s="62" t="s">
        <v>77</v>
      </c>
      <c r="J66">
        <v>1</v>
      </c>
    </row>
    <row r="67" spans="1:10" x14ac:dyDescent="0.25">
      <c r="A67" s="34">
        <v>61</v>
      </c>
      <c r="B67" s="33" t="s">
        <v>31</v>
      </c>
      <c r="C67" t="s">
        <v>174</v>
      </c>
      <c r="E67" s="49">
        <v>103</v>
      </c>
      <c r="G67" s="44">
        <v>2040</v>
      </c>
      <c r="H67" s="44"/>
      <c r="I67" s="62" t="s">
        <v>77</v>
      </c>
      <c r="J67">
        <v>1</v>
      </c>
    </row>
    <row r="68" spans="1:10" x14ac:dyDescent="0.25">
      <c r="A68" s="34">
        <v>62</v>
      </c>
      <c r="B68" s="33" t="s">
        <v>31</v>
      </c>
      <c r="C68" t="s">
        <v>183</v>
      </c>
      <c r="E68" s="49">
        <v>28</v>
      </c>
      <c r="G68" s="44">
        <v>6400</v>
      </c>
      <c r="H68" s="44"/>
      <c r="I68" s="62" t="s">
        <v>77</v>
      </c>
      <c r="J68">
        <v>1</v>
      </c>
    </row>
    <row r="69" spans="1:10" x14ac:dyDescent="0.25">
      <c r="A69" s="34">
        <v>63</v>
      </c>
      <c r="B69" s="33" t="s">
        <v>31</v>
      </c>
      <c r="C69" t="s">
        <v>181</v>
      </c>
      <c r="E69" s="49" t="s">
        <v>182</v>
      </c>
      <c r="F69">
        <v>495</v>
      </c>
      <c r="G69" s="44">
        <v>5120</v>
      </c>
      <c r="H69" s="44">
        <v>495</v>
      </c>
      <c r="I69" s="62"/>
    </row>
    <row r="70" spans="1:10" x14ac:dyDescent="0.25">
      <c r="A70" s="34">
        <v>64</v>
      </c>
      <c r="B70" s="33" t="s">
        <v>31</v>
      </c>
      <c r="C70" t="s">
        <v>176</v>
      </c>
      <c r="E70" s="49">
        <v>106</v>
      </c>
      <c r="G70" s="44">
        <v>2040</v>
      </c>
      <c r="H70" s="44"/>
      <c r="I70" s="62"/>
    </row>
    <row r="71" spans="1:10" x14ac:dyDescent="0.25">
      <c r="A71" s="34">
        <v>65</v>
      </c>
      <c r="B71" s="33" t="s">
        <v>31</v>
      </c>
      <c r="C71" t="s">
        <v>177</v>
      </c>
      <c r="E71" s="49">
        <v>104</v>
      </c>
      <c r="G71" s="44">
        <v>2720</v>
      </c>
      <c r="H71" s="44">
        <v>295</v>
      </c>
      <c r="I71" s="62"/>
    </row>
    <row r="72" spans="1:10" x14ac:dyDescent="0.25">
      <c r="A72" s="34">
        <v>66</v>
      </c>
      <c r="B72" s="33" t="s">
        <v>31</v>
      </c>
      <c r="C72" t="s">
        <v>184</v>
      </c>
      <c r="E72" s="49">
        <v>12</v>
      </c>
      <c r="G72" s="44">
        <v>7680</v>
      </c>
      <c r="H72" s="44"/>
      <c r="I72" s="62"/>
    </row>
    <row r="73" spans="1:10" x14ac:dyDescent="0.25">
      <c r="A73" s="34">
        <v>67</v>
      </c>
      <c r="B73" s="33" t="s">
        <v>31</v>
      </c>
      <c r="C73" t="s">
        <v>189</v>
      </c>
      <c r="E73" s="49">
        <v>5</v>
      </c>
      <c r="G73" s="44">
        <v>3672</v>
      </c>
      <c r="H73" s="44"/>
      <c r="I73" s="62"/>
    </row>
    <row r="74" spans="1:10" x14ac:dyDescent="0.25">
      <c r="A74" s="34">
        <v>68</v>
      </c>
      <c r="B74" s="33" t="s">
        <v>31</v>
      </c>
      <c r="C74" t="s">
        <v>191</v>
      </c>
      <c r="E74" s="49">
        <v>3</v>
      </c>
      <c r="G74" s="44">
        <v>4080</v>
      </c>
      <c r="H74" s="44"/>
      <c r="I74" s="62" t="s">
        <v>192</v>
      </c>
    </row>
    <row r="75" spans="1:10" x14ac:dyDescent="0.25">
      <c r="A75" s="34">
        <v>69</v>
      </c>
      <c r="B75" s="33" t="s">
        <v>31</v>
      </c>
      <c r="C75" t="s">
        <v>198</v>
      </c>
      <c r="E75" s="49">
        <v>117</v>
      </c>
      <c r="G75" s="44">
        <v>2585</v>
      </c>
      <c r="H75" s="44"/>
      <c r="I75" s="62"/>
    </row>
    <row r="76" spans="1:10" x14ac:dyDescent="0.25">
      <c r="A76" s="34">
        <v>70</v>
      </c>
      <c r="B76" s="33" t="s">
        <v>31</v>
      </c>
      <c r="C76" t="s">
        <v>199</v>
      </c>
      <c r="E76" s="49">
        <v>9</v>
      </c>
      <c r="G76" s="44">
        <v>3060</v>
      </c>
      <c r="H76" s="44">
        <v>495</v>
      </c>
      <c r="I76" s="62"/>
    </row>
    <row r="77" spans="1:10" x14ac:dyDescent="0.25">
      <c r="A77" s="34">
        <v>71</v>
      </c>
      <c r="B77" s="33" t="s">
        <v>31</v>
      </c>
      <c r="C77" t="s">
        <v>201</v>
      </c>
      <c r="E77" s="49">
        <v>116</v>
      </c>
      <c r="G77" s="44">
        <v>1920</v>
      </c>
      <c r="H77" s="44"/>
      <c r="I77" s="62"/>
    </row>
    <row r="78" spans="1:10" x14ac:dyDescent="0.25">
      <c r="A78" s="34">
        <v>72</v>
      </c>
      <c r="B78" s="33" t="s">
        <v>31</v>
      </c>
      <c r="C78" t="s">
        <v>203</v>
      </c>
      <c r="E78" s="49">
        <v>11</v>
      </c>
      <c r="G78" s="44">
        <v>3060</v>
      </c>
      <c r="H78" s="44"/>
      <c r="I78" s="62"/>
    </row>
    <row r="79" spans="1:10" x14ac:dyDescent="0.25">
      <c r="A79" s="34">
        <v>73</v>
      </c>
      <c r="B79" s="33" t="s">
        <v>31</v>
      </c>
      <c r="C79" t="s">
        <v>204</v>
      </c>
      <c r="E79" s="49">
        <v>28</v>
      </c>
      <c r="G79" s="44">
        <v>2720</v>
      </c>
      <c r="H79" s="44"/>
      <c r="I79" s="62"/>
    </row>
    <row r="80" spans="1:10" x14ac:dyDescent="0.25">
      <c r="A80" s="34">
        <v>74</v>
      </c>
      <c r="B80" s="33" t="s">
        <v>31</v>
      </c>
      <c r="C80" t="s">
        <v>205</v>
      </c>
      <c r="E80" s="49">
        <v>8</v>
      </c>
      <c r="G80" s="44">
        <v>3060</v>
      </c>
      <c r="H80" s="44"/>
      <c r="I80" s="62"/>
    </row>
    <row r="81" spans="1:10" x14ac:dyDescent="0.25">
      <c r="A81" s="34">
        <v>75</v>
      </c>
      <c r="B81" s="33" t="s">
        <v>31</v>
      </c>
      <c r="C81" t="s">
        <v>209</v>
      </c>
      <c r="E81" s="49">
        <v>21</v>
      </c>
      <c r="G81" s="44">
        <v>9900</v>
      </c>
      <c r="H81" s="44"/>
      <c r="I81" s="62"/>
    </row>
    <row r="82" spans="1:10" x14ac:dyDescent="0.25">
      <c r="A82" s="34">
        <v>76</v>
      </c>
      <c r="B82" s="33" t="s">
        <v>31</v>
      </c>
      <c r="C82" t="s">
        <v>207</v>
      </c>
      <c r="E82" s="49">
        <v>96</v>
      </c>
      <c r="G82" s="44">
        <v>1850</v>
      </c>
      <c r="H82" s="44"/>
      <c r="I82" s="62"/>
    </row>
    <row r="83" spans="1:10" x14ac:dyDescent="0.25">
      <c r="A83" s="34">
        <v>77</v>
      </c>
      <c r="B83" s="33" t="s">
        <v>31</v>
      </c>
      <c r="C83" t="s">
        <v>206</v>
      </c>
      <c r="E83" s="49">
        <v>112</v>
      </c>
      <c r="G83" s="44">
        <v>2720</v>
      </c>
      <c r="H83" s="44">
        <v>1295</v>
      </c>
      <c r="I83" s="62"/>
    </row>
    <row r="84" spans="1:10" x14ac:dyDescent="0.25">
      <c r="A84" s="34">
        <v>78</v>
      </c>
      <c r="B84" s="33" t="s">
        <v>31</v>
      </c>
      <c r="C84" t="s">
        <v>208</v>
      </c>
      <c r="E84" s="49">
        <v>118</v>
      </c>
      <c r="G84" s="44">
        <v>2040</v>
      </c>
      <c r="H84" s="44"/>
      <c r="I84" s="62"/>
    </row>
    <row r="85" spans="1:10" x14ac:dyDescent="0.25">
      <c r="A85" s="34">
        <v>79</v>
      </c>
      <c r="B85" s="33" t="s">
        <v>31</v>
      </c>
      <c r="C85" t="s">
        <v>214</v>
      </c>
      <c r="E85" s="49">
        <v>77</v>
      </c>
      <c r="G85" s="44">
        <v>2040</v>
      </c>
      <c r="H85" s="44"/>
      <c r="I85" s="62"/>
    </row>
    <row r="86" spans="1:10" x14ac:dyDescent="0.25">
      <c r="A86" s="34"/>
      <c r="B86" s="33"/>
      <c r="G86" s="44"/>
      <c r="H86" s="44"/>
      <c r="I86" s="62"/>
    </row>
    <row r="87" spans="1:10" x14ac:dyDescent="0.25">
      <c r="A87" s="34"/>
      <c r="B87" s="33" t="s">
        <v>178</v>
      </c>
      <c r="C87" t="s">
        <v>210</v>
      </c>
      <c r="G87" s="44"/>
      <c r="H87" s="44">
        <v>695</v>
      </c>
      <c r="I87" s="62"/>
    </row>
    <row r="88" spans="1:10" x14ac:dyDescent="0.25">
      <c r="A88" s="34"/>
      <c r="B88" s="33" t="s">
        <v>178</v>
      </c>
      <c r="C88" t="s">
        <v>202</v>
      </c>
      <c r="G88" s="44"/>
      <c r="H88" s="44">
        <v>695</v>
      </c>
      <c r="I88" s="62"/>
    </row>
    <row r="89" spans="1:10" x14ac:dyDescent="0.25">
      <c r="A89" s="34"/>
      <c r="B89" s="33" t="s">
        <v>178</v>
      </c>
      <c r="C89" t="s">
        <v>179</v>
      </c>
      <c r="G89" s="44"/>
      <c r="H89" s="44">
        <v>695</v>
      </c>
      <c r="I89" s="62"/>
    </row>
    <row r="90" spans="1:10" x14ac:dyDescent="0.25">
      <c r="A90" s="34">
        <v>79</v>
      </c>
      <c r="B90" s="33" t="s">
        <v>34</v>
      </c>
      <c r="C90" t="s">
        <v>58</v>
      </c>
      <c r="E90" s="49" t="s">
        <v>61</v>
      </c>
      <c r="G90" s="44"/>
      <c r="H90" t="s">
        <v>180</v>
      </c>
    </row>
    <row r="91" spans="1:10" x14ac:dyDescent="0.25">
      <c r="A91" s="34">
        <v>80</v>
      </c>
      <c r="B91" s="33" t="s">
        <v>34</v>
      </c>
      <c r="C91" t="s">
        <v>23</v>
      </c>
      <c r="E91" s="49" t="s">
        <v>61</v>
      </c>
      <c r="G91" s="44">
        <v>0</v>
      </c>
    </row>
    <row r="92" spans="1:10" x14ac:dyDescent="0.25">
      <c r="A92" s="34">
        <v>81</v>
      </c>
      <c r="B92" s="33" t="s">
        <v>34</v>
      </c>
      <c r="C92" t="s">
        <v>57</v>
      </c>
      <c r="E92" s="49" t="s">
        <v>88</v>
      </c>
      <c r="G92" s="44">
        <v>3400</v>
      </c>
      <c r="H92">
        <v>995</v>
      </c>
      <c r="J92">
        <v>2</v>
      </c>
    </row>
    <row r="93" spans="1:10" x14ac:dyDescent="0.25">
      <c r="A93" s="34">
        <v>82</v>
      </c>
      <c r="B93" s="33" t="s">
        <v>149</v>
      </c>
      <c r="C93" t="s">
        <v>148</v>
      </c>
      <c r="E93" s="49">
        <v>38</v>
      </c>
      <c r="G93" s="44">
        <v>4080</v>
      </c>
      <c r="J93">
        <v>2</v>
      </c>
    </row>
    <row r="94" spans="1:10" x14ac:dyDescent="0.25">
      <c r="A94" s="34">
        <v>83</v>
      </c>
      <c r="B94" s="33" t="s">
        <v>102</v>
      </c>
      <c r="C94" t="s">
        <v>126</v>
      </c>
      <c r="G94" s="44">
        <v>0</v>
      </c>
    </row>
    <row r="95" spans="1:10" x14ac:dyDescent="0.25">
      <c r="A95" s="34">
        <v>84</v>
      </c>
      <c r="B95" s="33" t="s">
        <v>102</v>
      </c>
      <c r="C95" t="s">
        <v>87</v>
      </c>
      <c r="G95" s="44">
        <v>0</v>
      </c>
    </row>
    <row r="96" spans="1:10" x14ac:dyDescent="0.25">
      <c r="A96" s="34">
        <v>85</v>
      </c>
      <c r="B96" s="33" t="s">
        <v>102</v>
      </c>
      <c r="C96" t="s">
        <v>93</v>
      </c>
      <c r="E96" s="49" t="s">
        <v>94</v>
      </c>
      <c r="G96" s="44">
        <v>0</v>
      </c>
    </row>
    <row r="97" spans="1:10" x14ac:dyDescent="0.25">
      <c r="A97" s="34"/>
      <c r="B97" s="33"/>
      <c r="G97" s="44"/>
    </row>
    <row r="98" spans="1:10" x14ac:dyDescent="0.25">
      <c r="B98" s="33" t="s">
        <v>211</v>
      </c>
      <c r="C98" s="6" t="s">
        <v>212</v>
      </c>
      <c r="D98" s="6"/>
      <c r="F98">
        <v>1000</v>
      </c>
      <c r="G98" s="44"/>
      <c r="H98" s="44"/>
    </row>
    <row r="99" spans="1:10" x14ac:dyDescent="0.25">
      <c r="A99" s="34"/>
      <c r="B99" s="33"/>
      <c r="G99" s="44"/>
      <c r="H99" s="44"/>
      <c r="I99" s="61"/>
    </row>
    <row r="100" spans="1:10" x14ac:dyDescent="0.25">
      <c r="F100" s="85"/>
      <c r="G100" s="44"/>
    </row>
    <row r="101" spans="1:10" x14ac:dyDescent="0.25">
      <c r="A101" s="20"/>
      <c r="B101" s="21"/>
      <c r="C101" s="22" t="s">
        <v>62</v>
      </c>
      <c r="D101" s="22"/>
      <c r="E101" s="47"/>
      <c r="F101" s="23">
        <f>SUM(F6:F100)</f>
        <v>10980</v>
      </c>
      <c r="G101" s="23">
        <f>SUM(G6:G100)</f>
        <v>490077</v>
      </c>
      <c r="H101" s="23">
        <f>SUM(H6:H100)</f>
        <v>18790</v>
      </c>
      <c r="I101" s="23">
        <f>SUM(I6:I100)</f>
        <v>0</v>
      </c>
      <c r="J101" s="88">
        <f>SUM(J6:J100)</f>
        <v>166</v>
      </c>
    </row>
    <row r="102" spans="1:10" x14ac:dyDescent="0.25">
      <c r="E102" s="49" t="s">
        <v>112</v>
      </c>
      <c r="F102" s="44">
        <f>F4-F101</f>
        <v>-980</v>
      </c>
      <c r="G102" s="44">
        <f>G4-G101</f>
        <v>-100077</v>
      </c>
      <c r="H102" s="79">
        <f>H4-H101</f>
        <v>28210</v>
      </c>
    </row>
    <row r="103" spans="1:10" x14ac:dyDescent="0.25">
      <c r="G103" s="44"/>
    </row>
    <row r="104" spans="1:10" x14ac:dyDescent="0.25">
      <c r="B104" s="83" t="s">
        <v>123</v>
      </c>
      <c r="E104" s="95">
        <v>40641</v>
      </c>
      <c r="F104" s="83" t="s">
        <v>121</v>
      </c>
      <c r="G104" s="84"/>
    </row>
    <row r="105" spans="1:10" x14ac:dyDescent="0.25">
      <c r="B105" t="s">
        <v>118</v>
      </c>
      <c r="E105" s="49">
        <v>80</v>
      </c>
      <c r="F105">
        <v>85</v>
      </c>
      <c r="G105" s="44"/>
    </row>
    <row r="106" spans="1:10" x14ac:dyDescent="0.25">
      <c r="B106" t="s">
        <v>119</v>
      </c>
      <c r="E106" s="49">
        <v>6</v>
      </c>
      <c r="F106" t="s">
        <v>213</v>
      </c>
      <c r="G106" s="44"/>
    </row>
    <row r="107" spans="1:10" x14ac:dyDescent="0.25">
      <c r="B107" t="s">
        <v>120</v>
      </c>
      <c r="E107" s="49">
        <v>1382.5</v>
      </c>
      <c r="F107">
        <v>1462</v>
      </c>
      <c r="G107" s="44"/>
    </row>
    <row r="108" spans="1:10" x14ac:dyDescent="0.25">
      <c r="B108" t="s">
        <v>122</v>
      </c>
      <c r="E108" s="49">
        <v>7</v>
      </c>
      <c r="F108">
        <v>12</v>
      </c>
      <c r="G108" s="44"/>
    </row>
    <row r="109" spans="1:10" x14ac:dyDescent="0.25">
      <c r="G109" s="44"/>
    </row>
    <row r="110" spans="1:10" x14ac:dyDescent="0.25">
      <c r="G110" s="44"/>
    </row>
    <row r="111" spans="1:10" x14ac:dyDescent="0.25">
      <c r="G111" s="44"/>
    </row>
    <row r="112" spans="1:10" x14ac:dyDescent="0.25">
      <c r="G112" s="44"/>
    </row>
    <row r="113" spans="7:7" x14ac:dyDescent="0.25">
      <c r="G113" s="44"/>
    </row>
    <row r="114" spans="7:7" x14ac:dyDescent="0.25">
      <c r="G114" s="44"/>
    </row>
    <row r="115" spans="7:7" x14ac:dyDescent="0.25">
      <c r="G115" s="44"/>
    </row>
    <row r="116" spans="7:7" x14ac:dyDescent="0.25">
      <c r="G116" s="44"/>
    </row>
    <row r="117" spans="7:7" x14ac:dyDescent="0.25">
      <c r="G117" s="44"/>
    </row>
    <row r="118" spans="7:7" x14ac:dyDescent="0.25">
      <c r="G118" s="44"/>
    </row>
    <row r="119" spans="7:7" x14ac:dyDescent="0.25">
      <c r="G119" s="44"/>
    </row>
    <row r="120" spans="7:7" x14ac:dyDescent="0.25">
      <c r="G120" s="44"/>
    </row>
    <row r="121" spans="7:7" x14ac:dyDescent="0.25">
      <c r="G121" s="44"/>
    </row>
    <row r="122" spans="7:7" x14ac:dyDescent="0.25">
      <c r="G122" s="44"/>
    </row>
    <row r="123" spans="7:7" x14ac:dyDescent="0.25">
      <c r="G123" s="44"/>
    </row>
    <row r="124" spans="7:7" x14ac:dyDescent="0.25">
      <c r="G124" s="44"/>
    </row>
    <row r="125" spans="7:7" x14ac:dyDescent="0.25">
      <c r="G125" s="44"/>
    </row>
    <row r="126" spans="7:7" x14ac:dyDescent="0.25">
      <c r="G126" s="44"/>
    </row>
    <row r="127" spans="7:7" x14ac:dyDescent="0.25">
      <c r="G127" s="44"/>
    </row>
    <row r="128" spans="7:7" x14ac:dyDescent="0.25">
      <c r="G128" s="44"/>
    </row>
    <row r="129" spans="7:7" x14ac:dyDescent="0.25">
      <c r="G129" s="44"/>
    </row>
    <row r="130" spans="7:7" x14ac:dyDescent="0.25">
      <c r="G130" s="44"/>
    </row>
    <row r="131" spans="7:7" x14ac:dyDescent="0.25">
      <c r="G131" s="44"/>
    </row>
    <row r="132" spans="7:7" x14ac:dyDescent="0.25">
      <c r="G132" s="44"/>
    </row>
    <row r="133" spans="7:7" x14ac:dyDescent="0.25">
      <c r="G133" s="44"/>
    </row>
    <row r="134" spans="7:7" x14ac:dyDescent="0.25">
      <c r="G134" s="44"/>
    </row>
    <row r="135" spans="7:7" x14ac:dyDescent="0.25">
      <c r="G135" s="44"/>
    </row>
    <row r="136" spans="7:7" x14ac:dyDescent="0.25">
      <c r="G136" s="44"/>
    </row>
    <row r="137" spans="7:7" x14ac:dyDescent="0.25">
      <c r="G137" s="44"/>
    </row>
    <row r="138" spans="7:7" x14ac:dyDescent="0.25">
      <c r="G138" s="44"/>
    </row>
    <row r="139" spans="7:7" x14ac:dyDescent="0.25">
      <c r="G139" s="44"/>
    </row>
    <row r="140" spans="7:7" x14ac:dyDescent="0.25">
      <c r="G140" s="44"/>
    </row>
    <row r="141" spans="7:7" x14ac:dyDescent="0.25">
      <c r="G141" s="44"/>
    </row>
    <row r="142" spans="7:7" x14ac:dyDescent="0.25">
      <c r="G142" s="44"/>
    </row>
    <row r="143" spans="7:7" x14ac:dyDescent="0.25">
      <c r="G143" s="44"/>
    </row>
    <row r="144" spans="7:7" x14ac:dyDescent="0.25">
      <c r="G144" s="44"/>
    </row>
    <row r="145" spans="7:7" x14ac:dyDescent="0.25">
      <c r="G145" s="44"/>
    </row>
    <row r="146" spans="7:7" x14ac:dyDescent="0.25">
      <c r="G146" s="44"/>
    </row>
    <row r="147" spans="7:7" x14ac:dyDescent="0.25">
      <c r="G147" s="44"/>
    </row>
    <row r="148" spans="7:7" x14ac:dyDescent="0.25">
      <c r="G148" s="44"/>
    </row>
    <row r="149" spans="7:7" x14ac:dyDescent="0.25">
      <c r="G149" s="44"/>
    </row>
    <row r="150" spans="7:7" x14ac:dyDescent="0.25">
      <c r="G150" s="44"/>
    </row>
    <row r="151" spans="7:7" x14ac:dyDescent="0.25">
      <c r="G151" s="44"/>
    </row>
    <row r="152" spans="7:7" x14ac:dyDescent="0.25">
      <c r="G152" s="44"/>
    </row>
    <row r="153" spans="7:7" x14ac:dyDescent="0.25">
      <c r="G153" s="44"/>
    </row>
    <row r="154" spans="7:7" x14ac:dyDescent="0.25">
      <c r="G154" s="44"/>
    </row>
    <row r="155" spans="7:7" x14ac:dyDescent="0.25">
      <c r="G155" s="44"/>
    </row>
    <row r="156" spans="7:7" x14ac:dyDescent="0.25">
      <c r="G156" s="44"/>
    </row>
    <row r="157" spans="7:7" x14ac:dyDescent="0.25">
      <c r="G157" s="44"/>
    </row>
    <row r="158" spans="7:7" x14ac:dyDescent="0.25">
      <c r="G158" s="44"/>
    </row>
    <row r="159" spans="7:7" x14ac:dyDescent="0.25">
      <c r="G159" s="44"/>
    </row>
    <row r="160" spans="7:7" x14ac:dyDescent="0.25">
      <c r="G160" s="44"/>
    </row>
    <row r="161" spans="7:7" x14ac:dyDescent="0.25">
      <c r="G161" s="44"/>
    </row>
    <row r="162" spans="7:7" x14ac:dyDescent="0.25">
      <c r="G162" s="44"/>
    </row>
    <row r="163" spans="7:7" x14ac:dyDescent="0.25">
      <c r="G163" s="44"/>
    </row>
    <row r="164" spans="7:7" x14ac:dyDescent="0.25">
      <c r="G164" s="44"/>
    </row>
    <row r="165" spans="7:7" x14ac:dyDescent="0.25">
      <c r="G165" s="44"/>
    </row>
    <row r="166" spans="7:7" x14ac:dyDescent="0.25">
      <c r="G166" s="44"/>
    </row>
    <row r="167" spans="7:7" x14ac:dyDescent="0.25">
      <c r="G167" s="44"/>
    </row>
    <row r="168" spans="7:7" x14ac:dyDescent="0.25">
      <c r="G168" s="44"/>
    </row>
    <row r="169" spans="7:7" x14ac:dyDescent="0.25">
      <c r="G169" s="44"/>
    </row>
    <row r="170" spans="7:7" x14ac:dyDescent="0.25">
      <c r="G170" s="44"/>
    </row>
    <row r="171" spans="7:7" x14ac:dyDescent="0.25">
      <c r="G171" s="44"/>
    </row>
    <row r="172" spans="7:7" x14ac:dyDescent="0.25">
      <c r="G172" s="44"/>
    </row>
    <row r="173" spans="7:7" x14ac:dyDescent="0.25">
      <c r="G173" s="44"/>
    </row>
    <row r="174" spans="7:7" x14ac:dyDescent="0.25">
      <c r="G174" s="44"/>
    </row>
    <row r="175" spans="7:7" x14ac:dyDescent="0.25">
      <c r="G175" s="44"/>
    </row>
    <row r="176" spans="7:7" x14ac:dyDescent="0.25">
      <c r="G176" s="44"/>
    </row>
    <row r="177" spans="7:7" x14ac:dyDescent="0.25">
      <c r="G177" s="44"/>
    </row>
    <row r="178" spans="7:7" x14ac:dyDescent="0.25">
      <c r="G178" s="44"/>
    </row>
    <row r="179" spans="7:7" x14ac:dyDescent="0.25">
      <c r="G179" s="44"/>
    </row>
    <row r="180" spans="7:7" x14ac:dyDescent="0.25">
      <c r="G180" s="44"/>
    </row>
    <row r="181" spans="7:7" x14ac:dyDescent="0.25">
      <c r="G181" s="44"/>
    </row>
    <row r="182" spans="7:7" x14ac:dyDescent="0.25">
      <c r="G182" s="44"/>
    </row>
    <row r="183" spans="7:7" x14ac:dyDescent="0.25">
      <c r="G183" s="44"/>
    </row>
    <row r="184" spans="7:7" x14ac:dyDescent="0.25">
      <c r="G184" s="44"/>
    </row>
    <row r="185" spans="7:7" x14ac:dyDescent="0.25">
      <c r="G185" s="44"/>
    </row>
    <row r="186" spans="7:7" x14ac:dyDescent="0.25">
      <c r="G186" s="44"/>
    </row>
    <row r="187" spans="7:7" x14ac:dyDescent="0.25">
      <c r="G187" s="44"/>
    </row>
    <row r="188" spans="7:7" x14ac:dyDescent="0.25">
      <c r="G188" s="44"/>
    </row>
    <row r="189" spans="7:7" x14ac:dyDescent="0.25">
      <c r="G189" s="44"/>
    </row>
    <row r="190" spans="7:7" x14ac:dyDescent="0.25">
      <c r="G190" s="44"/>
    </row>
    <row r="191" spans="7:7" x14ac:dyDescent="0.25">
      <c r="G191" s="44"/>
    </row>
    <row r="192" spans="7:7" x14ac:dyDescent="0.25">
      <c r="G192" s="44"/>
    </row>
    <row r="193" spans="7:7" x14ac:dyDescent="0.25">
      <c r="G193" s="44"/>
    </row>
    <row r="194" spans="7:7" x14ac:dyDescent="0.25">
      <c r="G194" s="44"/>
    </row>
    <row r="195" spans="7:7" x14ac:dyDescent="0.25">
      <c r="G195" s="44"/>
    </row>
    <row r="196" spans="7:7" x14ac:dyDescent="0.25">
      <c r="G196" s="44"/>
    </row>
    <row r="197" spans="7:7" x14ac:dyDescent="0.25">
      <c r="G197" s="44"/>
    </row>
    <row r="198" spans="7:7" x14ac:dyDescent="0.25">
      <c r="G198" s="44"/>
    </row>
    <row r="199" spans="7:7" x14ac:dyDescent="0.25">
      <c r="G199" s="44"/>
    </row>
    <row r="200" spans="7:7" x14ac:dyDescent="0.25">
      <c r="G200" s="44"/>
    </row>
    <row r="201" spans="7:7" x14ac:dyDescent="0.25">
      <c r="G201" s="44"/>
    </row>
    <row r="202" spans="7:7" x14ac:dyDescent="0.25">
      <c r="G202" s="44"/>
    </row>
    <row r="203" spans="7:7" x14ac:dyDescent="0.25">
      <c r="G203" s="44"/>
    </row>
    <row r="204" spans="7:7" x14ac:dyDescent="0.25">
      <c r="G204" s="44"/>
    </row>
    <row r="205" spans="7:7" x14ac:dyDescent="0.25">
      <c r="G205" s="44"/>
    </row>
    <row r="206" spans="7:7" x14ac:dyDescent="0.25">
      <c r="G206" s="44"/>
    </row>
    <row r="207" spans="7:7" x14ac:dyDescent="0.25">
      <c r="G207" s="44"/>
    </row>
    <row r="208" spans="7:7" x14ac:dyDescent="0.25">
      <c r="G208" s="44"/>
    </row>
    <row r="209" spans="7:7" x14ac:dyDescent="0.25">
      <c r="G209" s="44"/>
    </row>
    <row r="210" spans="7:7" x14ac:dyDescent="0.25">
      <c r="G210" s="44"/>
    </row>
    <row r="211" spans="7:7" x14ac:dyDescent="0.25">
      <c r="G211" s="44"/>
    </row>
    <row r="212" spans="7:7" x14ac:dyDescent="0.25">
      <c r="G212" s="44"/>
    </row>
    <row r="213" spans="7:7" x14ac:dyDescent="0.25">
      <c r="G213" s="44"/>
    </row>
    <row r="214" spans="7:7" x14ac:dyDescent="0.25">
      <c r="G214" s="44"/>
    </row>
    <row r="215" spans="7:7" x14ac:dyDescent="0.25">
      <c r="G215" s="44"/>
    </row>
    <row r="216" spans="7:7" x14ac:dyDescent="0.25">
      <c r="G216" s="44"/>
    </row>
    <row r="217" spans="7:7" x14ac:dyDescent="0.25">
      <c r="G217" s="44"/>
    </row>
    <row r="218" spans="7:7" x14ac:dyDescent="0.25">
      <c r="G218" s="44"/>
    </row>
    <row r="219" spans="7:7" x14ac:dyDescent="0.25">
      <c r="G219" s="44"/>
    </row>
    <row r="220" spans="7:7" x14ac:dyDescent="0.25">
      <c r="G220" s="44"/>
    </row>
    <row r="221" spans="7:7" x14ac:dyDescent="0.25">
      <c r="G221" s="44"/>
    </row>
    <row r="222" spans="7:7" x14ac:dyDescent="0.25">
      <c r="G222" s="44"/>
    </row>
  </sheetData>
  <sortState xmlns:xlrd2="http://schemas.microsoft.com/office/spreadsheetml/2017/richdata2" ref="A6:H56">
    <sortCondition ref="B6:B56"/>
  </sortState>
  <pageMargins left="0.15748031496062992" right="0.15748031496062992" top="0.15748031496062992" bottom="0.35433070866141736" header="0" footer="0.31496062992125984"/>
  <pageSetup paperSize="9" scale="96" orientation="portrait" horizontalDpi="429496729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4"/>
  <sheetViews>
    <sheetView workbookViewId="0">
      <selection activeCell="D50" sqref="D50"/>
    </sheetView>
  </sheetViews>
  <sheetFormatPr defaultColWidth="8.7109375" defaultRowHeight="15" x14ac:dyDescent="0.25"/>
  <cols>
    <col min="1" max="1" width="52" bestFit="1" customWidth="1"/>
  </cols>
  <sheetData>
    <row r="1" spans="1:2" x14ac:dyDescent="0.25">
      <c r="A1" t="s">
        <v>440</v>
      </c>
    </row>
    <row r="2" spans="1:2" x14ac:dyDescent="0.25">
      <c r="A2" t="s">
        <v>441</v>
      </c>
    </row>
    <row r="3" spans="1:2" x14ac:dyDescent="0.25">
      <c r="A3" t="s">
        <v>442</v>
      </c>
      <c r="B3">
        <v>1</v>
      </c>
    </row>
    <row r="4" spans="1:2" x14ac:dyDescent="0.25">
      <c r="A4" t="s">
        <v>443</v>
      </c>
      <c r="B4">
        <v>28</v>
      </c>
    </row>
    <row r="5" spans="1:2" x14ac:dyDescent="0.25">
      <c r="A5" t="s">
        <v>444</v>
      </c>
      <c r="B5">
        <v>1</v>
      </c>
    </row>
    <row r="6" spans="1:2" x14ac:dyDescent="0.25">
      <c r="A6" t="s">
        <v>445</v>
      </c>
      <c r="B6">
        <v>158</v>
      </c>
    </row>
    <row r="7" spans="1:2" x14ac:dyDescent="0.25">
      <c r="A7" t="s">
        <v>446</v>
      </c>
      <c r="B7">
        <v>108</v>
      </c>
    </row>
    <row r="8" spans="1:2" x14ac:dyDescent="0.25">
      <c r="A8" t="s">
        <v>447</v>
      </c>
      <c r="B8">
        <v>10</v>
      </c>
    </row>
    <row r="9" spans="1:2" x14ac:dyDescent="0.25">
      <c r="A9" t="s">
        <v>454</v>
      </c>
      <c r="B9">
        <v>50</v>
      </c>
    </row>
    <row r="10" spans="1:2" x14ac:dyDescent="0.25">
      <c r="A10" t="s">
        <v>448</v>
      </c>
      <c r="B10">
        <v>259</v>
      </c>
    </row>
    <row r="11" spans="1:2" x14ac:dyDescent="0.25">
      <c r="A11" t="s">
        <v>449</v>
      </c>
      <c r="B11">
        <v>82</v>
      </c>
    </row>
    <row r="12" spans="1:2" x14ac:dyDescent="0.25">
      <c r="A12" t="s">
        <v>450</v>
      </c>
      <c r="B12">
        <v>151</v>
      </c>
    </row>
    <row r="13" spans="1:2" x14ac:dyDescent="0.25">
      <c r="A13" t="s">
        <v>451</v>
      </c>
      <c r="B13">
        <v>3</v>
      </c>
    </row>
    <row r="14" spans="1:2" x14ac:dyDescent="0.25">
      <c r="A14" t="s">
        <v>452</v>
      </c>
      <c r="B14">
        <v>4</v>
      </c>
    </row>
    <row r="15" spans="1:2" x14ac:dyDescent="0.25">
      <c r="A15" t="s">
        <v>453</v>
      </c>
      <c r="B15">
        <v>14</v>
      </c>
    </row>
    <row r="19" spans="1:6" x14ac:dyDescent="0.25">
      <c r="C19" t="s">
        <v>461</v>
      </c>
    </row>
    <row r="20" spans="1:6" x14ac:dyDescent="0.25">
      <c r="A20" s="175" t="s">
        <v>456</v>
      </c>
      <c r="B20">
        <v>259</v>
      </c>
      <c r="C20" s="174">
        <f>(B20/825)*100</f>
        <v>31.393939393939398</v>
      </c>
      <c r="E20" s="177"/>
    </row>
    <row r="21" spans="1:6" x14ac:dyDescent="0.25">
      <c r="A21" s="175" t="s">
        <v>457</v>
      </c>
      <c r="B21">
        <v>168</v>
      </c>
      <c r="C21" s="174">
        <f t="shared" ref="C21:C23" si="0">(B21/825)*100</f>
        <v>20.363636363636363</v>
      </c>
    </row>
    <row r="22" spans="1:6" x14ac:dyDescent="0.25">
      <c r="A22" s="175" t="s">
        <v>458</v>
      </c>
      <c r="B22">
        <v>313</v>
      </c>
      <c r="C22" s="174">
        <f t="shared" si="0"/>
        <v>37.939393939393938</v>
      </c>
      <c r="D22" s="177"/>
    </row>
    <row r="23" spans="1:6" x14ac:dyDescent="0.25">
      <c r="A23" s="175" t="s">
        <v>459</v>
      </c>
      <c r="B23">
        <v>85</v>
      </c>
      <c r="C23" s="174">
        <f t="shared" si="0"/>
        <v>10.303030303030303</v>
      </c>
    </row>
    <row r="24" spans="1:6" x14ac:dyDescent="0.25">
      <c r="B24">
        <f>SUM(B20:B23)</f>
        <v>825</v>
      </c>
    </row>
    <row r="25" spans="1:6" x14ac:dyDescent="0.25">
      <c r="A25" s="175" t="s">
        <v>460</v>
      </c>
    </row>
    <row r="27" spans="1:6" x14ac:dyDescent="0.25">
      <c r="C27" t="s">
        <v>461</v>
      </c>
      <c r="F27" s="83">
        <v>2013</v>
      </c>
    </row>
    <row r="28" spans="1:6" x14ac:dyDescent="0.25">
      <c r="A28" t="s">
        <v>463</v>
      </c>
      <c r="B28">
        <v>391</v>
      </c>
      <c r="C28" s="174">
        <f>B28/1503*100</f>
        <v>26.0146373918829</v>
      </c>
      <c r="D28" s="174"/>
      <c r="F28">
        <v>357</v>
      </c>
    </row>
    <row r="29" spans="1:6" x14ac:dyDescent="0.25">
      <c r="A29" t="s">
        <v>464</v>
      </c>
      <c r="B29">
        <v>406</v>
      </c>
      <c r="C29" s="174">
        <f t="shared" ref="C29:C43" si="1">B29/1503*100</f>
        <v>27.012641383898867</v>
      </c>
      <c r="D29" s="174"/>
      <c r="F29">
        <v>382</v>
      </c>
    </row>
    <row r="30" spans="1:6" x14ac:dyDescent="0.25">
      <c r="A30" t="s">
        <v>465</v>
      </c>
      <c r="B30">
        <v>58</v>
      </c>
      <c r="C30" s="174">
        <f t="shared" si="1"/>
        <v>3.8589487691284097</v>
      </c>
      <c r="D30" s="174"/>
      <c r="F30">
        <v>105</v>
      </c>
    </row>
    <row r="31" spans="1:6" x14ac:dyDescent="0.25">
      <c r="A31" t="s">
        <v>466</v>
      </c>
      <c r="B31">
        <v>43</v>
      </c>
      <c r="C31" s="174">
        <f t="shared" si="1"/>
        <v>2.8609447771124419</v>
      </c>
      <c r="D31" s="174"/>
      <c r="F31">
        <v>36</v>
      </c>
    </row>
    <row r="32" spans="1:6" x14ac:dyDescent="0.25">
      <c r="A32" t="s">
        <v>467</v>
      </c>
      <c r="B32">
        <v>116</v>
      </c>
      <c r="C32" s="174">
        <f t="shared" si="1"/>
        <v>7.7178975382568193</v>
      </c>
      <c r="D32" s="174"/>
      <c r="F32">
        <v>111</v>
      </c>
    </row>
    <row r="33" spans="1:6" x14ac:dyDescent="0.25">
      <c r="A33" t="s">
        <v>468</v>
      </c>
      <c r="B33">
        <v>13</v>
      </c>
      <c r="C33" s="174">
        <f t="shared" si="1"/>
        <v>0.86493679308050564</v>
      </c>
      <c r="D33" s="174"/>
      <c r="F33">
        <v>129</v>
      </c>
    </row>
    <row r="34" spans="1:6" x14ac:dyDescent="0.25">
      <c r="A34" t="s">
        <v>469</v>
      </c>
      <c r="B34">
        <v>121</v>
      </c>
      <c r="C34" s="174">
        <f t="shared" si="1"/>
        <v>8.0505655355954762</v>
      </c>
      <c r="D34" s="174"/>
      <c r="F34">
        <v>118</v>
      </c>
    </row>
    <row r="35" spans="1:6" x14ac:dyDescent="0.25">
      <c r="A35" t="s">
        <v>470</v>
      </c>
      <c r="B35">
        <v>52</v>
      </c>
      <c r="C35" s="174">
        <f t="shared" si="1"/>
        <v>3.4597471723220226</v>
      </c>
      <c r="D35" s="174"/>
      <c r="F35">
        <v>91</v>
      </c>
    </row>
    <row r="36" spans="1:6" x14ac:dyDescent="0.25">
      <c r="A36" t="s">
        <v>471</v>
      </c>
      <c r="B36">
        <v>65</v>
      </c>
      <c r="C36" s="174">
        <f t="shared" si="1"/>
        <v>4.324683965402528</v>
      </c>
      <c r="D36" s="174"/>
      <c r="F36">
        <v>46</v>
      </c>
    </row>
    <row r="37" spans="1:6" x14ac:dyDescent="0.25">
      <c r="A37" t="s">
        <v>472</v>
      </c>
      <c r="B37">
        <v>55</v>
      </c>
      <c r="C37" s="174">
        <f t="shared" si="1"/>
        <v>3.6593479707252166</v>
      </c>
      <c r="D37" s="174"/>
      <c r="F37">
        <v>40</v>
      </c>
    </row>
    <row r="38" spans="1:6" x14ac:dyDescent="0.25">
      <c r="A38" t="s">
        <v>473</v>
      </c>
      <c r="B38">
        <v>101</v>
      </c>
      <c r="C38" s="174">
        <f t="shared" si="1"/>
        <v>6.7198935462408516</v>
      </c>
      <c r="D38" s="174"/>
      <c r="F38">
        <v>60</v>
      </c>
    </row>
    <row r="39" spans="1:6" x14ac:dyDescent="0.25">
      <c r="A39" t="s">
        <v>474</v>
      </c>
      <c r="B39">
        <v>1</v>
      </c>
      <c r="C39" s="174">
        <f t="shared" si="1"/>
        <v>6.65335994677312E-2</v>
      </c>
      <c r="D39" s="174"/>
      <c r="F39">
        <v>6</v>
      </c>
    </row>
    <row r="40" spans="1:6" x14ac:dyDescent="0.25">
      <c r="A40" t="s">
        <v>475</v>
      </c>
      <c r="B40">
        <v>6</v>
      </c>
      <c r="C40" s="174">
        <f t="shared" si="1"/>
        <v>0.39920159680638717</v>
      </c>
      <c r="D40" s="174"/>
      <c r="F40">
        <v>6</v>
      </c>
    </row>
    <row r="41" spans="1:6" x14ac:dyDescent="0.25">
      <c r="A41" t="s">
        <v>476</v>
      </c>
      <c r="B41">
        <v>62</v>
      </c>
      <c r="C41" s="174">
        <f t="shared" si="1"/>
        <v>4.1250831669993344</v>
      </c>
      <c r="D41" s="174"/>
      <c r="F41">
        <v>54</v>
      </c>
    </row>
    <row r="42" spans="1:6" x14ac:dyDescent="0.25">
      <c r="A42" t="s">
        <v>477</v>
      </c>
      <c r="B42">
        <v>13</v>
      </c>
      <c r="C42" s="174">
        <f t="shared" si="1"/>
        <v>0.86493679308050564</v>
      </c>
      <c r="D42" s="174"/>
      <c r="F42">
        <v>68</v>
      </c>
    </row>
    <row r="43" spans="1:6" x14ac:dyDescent="0.25">
      <c r="B43">
        <f>SUM(B28:B42)</f>
        <v>1503</v>
      </c>
      <c r="C43">
        <f t="shared" si="1"/>
        <v>100</v>
      </c>
    </row>
    <row r="44" spans="1:6" x14ac:dyDescent="0.25">
      <c r="A44" t="s">
        <v>480</v>
      </c>
    </row>
  </sheetData>
  <pageMargins left="0.7" right="0.7" top="0.75" bottom="0.75" header="0.3" footer="0.3"/>
  <pageSetup paperSize="9" orientation="portrait" horizontalDpi="4294967294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1"/>
  <sheetViews>
    <sheetView zoomScale="120" zoomScaleNormal="120" workbookViewId="0">
      <pane xSplit="8" ySplit="2" topLeftCell="J3" activePane="bottomRight" state="frozen"/>
      <selection pane="topRight" activeCell="I1" sqref="I1"/>
      <selection pane="bottomLeft" activeCell="A3" sqref="A3"/>
      <selection pane="bottomRight" activeCell="P31" sqref="P31"/>
    </sheetView>
  </sheetViews>
  <sheetFormatPr defaultColWidth="8.7109375" defaultRowHeight="15" x14ac:dyDescent="0.25"/>
  <cols>
    <col min="1" max="1" width="27.28515625" bestFit="1" customWidth="1"/>
    <col min="2" max="5" width="11.7109375" hidden="1" customWidth="1"/>
    <col min="6" max="6" width="11.7109375" bestFit="1" customWidth="1"/>
    <col min="7" max="8" width="13.28515625" customWidth="1"/>
    <col min="9" max="11" width="11.7109375" bestFit="1" customWidth="1"/>
    <col min="12" max="12" width="12.42578125" customWidth="1"/>
    <col min="13" max="17" width="12.42578125" bestFit="1" customWidth="1"/>
    <col min="18" max="18" width="12.42578125" style="7" bestFit="1" customWidth="1"/>
    <col min="19" max="33" width="15" style="7" customWidth="1"/>
    <col min="34" max="34" width="15.140625" customWidth="1"/>
    <col min="37" max="37" width="14" customWidth="1"/>
    <col min="38" max="38" width="15.7109375" customWidth="1"/>
  </cols>
  <sheetData>
    <row r="1" spans="1:38" ht="18" x14ac:dyDescent="0.25">
      <c r="A1" s="238" t="s">
        <v>671</v>
      </c>
      <c r="B1" s="142"/>
      <c r="C1" s="143"/>
      <c r="D1" s="143"/>
      <c r="E1" s="212"/>
      <c r="F1" s="213"/>
      <c r="G1" s="224"/>
      <c r="H1" s="224"/>
      <c r="I1" s="238" t="s">
        <v>609</v>
      </c>
      <c r="J1" s="238" t="s">
        <v>103</v>
      </c>
      <c r="K1" s="238" t="s">
        <v>103</v>
      </c>
      <c r="L1" s="238" t="s">
        <v>103</v>
      </c>
      <c r="M1" s="241" t="s">
        <v>103</v>
      </c>
      <c r="N1" s="241" t="s">
        <v>103</v>
      </c>
      <c r="O1" s="241" t="s">
        <v>103</v>
      </c>
      <c r="P1" s="241" t="s">
        <v>1</v>
      </c>
      <c r="Q1" s="241" t="s">
        <v>103</v>
      </c>
      <c r="R1" s="247" t="s">
        <v>103</v>
      </c>
      <c r="S1" s="247" t="s">
        <v>1</v>
      </c>
      <c r="T1" s="247" t="s">
        <v>1</v>
      </c>
      <c r="U1" s="247" t="s">
        <v>641</v>
      </c>
      <c r="V1" s="258" t="s">
        <v>644</v>
      </c>
      <c r="W1" s="258" t="s">
        <v>647</v>
      </c>
      <c r="X1" s="261" t="s">
        <v>648</v>
      </c>
      <c r="Y1" s="261"/>
      <c r="Z1" s="261"/>
      <c r="AA1" s="261"/>
      <c r="AB1" s="261"/>
      <c r="AC1" s="261"/>
      <c r="AD1" s="261"/>
      <c r="AE1" s="261"/>
      <c r="AF1" s="261"/>
      <c r="AG1" s="274" t="s">
        <v>322</v>
      </c>
      <c r="AJ1" s="247"/>
      <c r="AK1" s="247"/>
    </row>
    <row r="2" spans="1:38" ht="15.75" x14ac:dyDescent="0.25">
      <c r="A2" s="238" t="s">
        <v>2</v>
      </c>
      <c r="B2" s="144" t="s">
        <v>17</v>
      </c>
      <c r="C2" s="144" t="s">
        <v>216</v>
      </c>
      <c r="D2" s="144" t="s">
        <v>333</v>
      </c>
      <c r="E2" s="144" t="s">
        <v>333</v>
      </c>
      <c r="F2" s="214" t="s">
        <v>529</v>
      </c>
      <c r="G2" s="225" t="s">
        <v>575</v>
      </c>
      <c r="H2" s="225" t="s">
        <v>608</v>
      </c>
      <c r="I2" s="239">
        <v>43017</v>
      </c>
      <c r="J2" s="239">
        <v>43076</v>
      </c>
      <c r="K2" s="239">
        <v>43449</v>
      </c>
      <c r="L2" s="239">
        <v>43118</v>
      </c>
      <c r="M2" s="239">
        <v>43132</v>
      </c>
      <c r="N2" s="239">
        <v>43139</v>
      </c>
      <c r="O2" s="239">
        <f>N2+7</f>
        <v>43146</v>
      </c>
      <c r="P2" s="239">
        <f>O2+29</f>
        <v>43175</v>
      </c>
      <c r="Q2" s="239">
        <f>P2+6</f>
        <v>43181</v>
      </c>
      <c r="R2" s="248">
        <f>Q2+7</f>
        <v>43188</v>
      </c>
      <c r="S2" s="248">
        <f>R2+8</f>
        <v>43196</v>
      </c>
      <c r="T2" s="248">
        <f>S2+8</f>
        <v>43204</v>
      </c>
      <c r="U2" s="248">
        <f>T2+6</f>
        <v>43210</v>
      </c>
      <c r="V2" s="248">
        <f>U2+4</f>
        <v>43214</v>
      </c>
      <c r="W2" s="248">
        <f>V2+3</f>
        <v>43217</v>
      </c>
      <c r="X2" s="248">
        <f>W2+7</f>
        <v>43224</v>
      </c>
      <c r="Y2" s="248">
        <f>X2+7</f>
        <v>43231</v>
      </c>
      <c r="Z2" s="248">
        <f>Y2+7</f>
        <v>43238</v>
      </c>
      <c r="AA2" s="248">
        <f>Z2+7</f>
        <v>43245</v>
      </c>
      <c r="AB2" s="248">
        <f>AA2+14</f>
        <v>43259</v>
      </c>
      <c r="AC2" s="248">
        <f>AB2+7</f>
        <v>43266</v>
      </c>
      <c r="AD2" s="248">
        <f>AC2+7</f>
        <v>43273</v>
      </c>
      <c r="AE2" s="248">
        <f>AD2+7</f>
        <v>43280</v>
      </c>
      <c r="AF2" s="267"/>
      <c r="AG2" s="273"/>
    </row>
    <row r="3" spans="1:38" x14ac:dyDescent="0.25">
      <c r="A3" s="12" t="s">
        <v>15</v>
      </c>
      <c r="B3" s="38">
        <v>40664</v>
      </c>
      <c r="C3" s="38">
        <v>41061</v>
      </c>
      <c r="D3" s="161">
        <v>41426</v>
      </c>
      <c r="E3" s="161">
        <v>41791</v>
      </c>
      <c r="F3" s="161">
        <v>42186</v>
      </c>
      <c r="G3" s="161"/>
      <c r="H3" s="161"/>
      <c r="I3" s="192"/>
      <c r="J3" s="192"/>
      <c r="K3" s="192"/>
      <c r="L3" s="192"/>
      <c r="M3" s="155"/>
      <c r="N3" s="155"/>
      <c r="O3" s="243" t="s">
        <v>612</v>
      </c>
      <c r="P3" s="155"/>
      <c r="Q3" s="155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 t="s">
        <v>652</v>
      </c>
      <c r="AD3" s="246" t="s">
        <v>652</v>
      </c>
      <c r="AE3" s="246" t="s">
        <v>652</v>
      </c>
      <c r="AF3" s="246"/>
      <c r="AG3" s="246"/>
      <c r="AI3">
        <f>385-AE4</f>
        <v>-61</v>
      </c>
    </row>
    <row r="4" spans="1:38" x14ac:dyDescent="0.25">
      <c r="A4" s="3" t="s">
        <v>531</v>
      </c>
      <c r="B4" s="40">
        <v>549</v>
      </c>
      <c r="C4" s="40">
        <v>496</v>
      </c>
      <c r="D4" s="162">
        <v>439</v>
      </c>
      <c r="E4" s="162">
        <v>444</v>
      </c>
      <c r="F4" s="14">
        <v>391</v>
      </c>
      <c r="G4" s="193">
        <v>373</v>
      </c>
      <c r="H4" s="193">
        <v>434</v>
      </c>
      <c r="I4" s="193">
        <v>3</v>
      </c>
      <c r="J4" s="193">
        <v>74</v>
      </c>
      <c r="K4" s="193">
        <v>340</v>
      </c>
      <c r="L4" s="193">
        <v>340</v>
      </c>
      <c r="M4" s="193">
        <v>340</v>
      </c>
      <c r="N4" s="193">
        <v>340</v>
      </c>
      <c r="O4" s="193">
        <v>340</v>
      </c>
      <c r="P4" s="193">
        <v>340</v>
      </c>
      <c r="Q4" s="193">
        <v>340</v>
      </c>
      <c r="R4" s="169">
        <v>340</v>
      </c>
      <c r="S4" s="169">
        <v>340</v>
      </c>
      <c r="T4" s="169">
        <v>340</v>
      </c>
      <c r="U4" s="169">
        <v>340</v>
      </c>
      <c r="V4" s="220">
        <v>446</v>
      </c>
      <c r="W4" s="220">
        <v>446</v>
      </c>
      <c r="X4" s="220">
        <v>446</v>
      </c>
      <c r="Y4" s="220">
        <v>446</v>
      </c>
      <c r="Z4" s="220">
        <v>446</v>
      </c>
      <c r="AA4" s="220">
        <v>446</v>
      </c>
      <c r="AB4" s="220">
        <v>446</v>
      </c>
      <c r="AC4" s="220">
        <v>446</v>
      </c>
      <c r="AD4" s="220">
        <v>446</v>
      </c>
      <c r="AE4" s="220">
        <v>446</v>
      </c>
      <c r="AF4" s="250"/>
      <c r="AG4" s="250">
        <v>446</v>
      </c>
      <c r="AH4" t="s">
        <v>643</v>
      </c>
      <c r="AI4">
        <f>AE4-340</f>
        <v>106</v>
      </c>
    </row>
    <row r="5" spans="1:38" x14ac:dyDescent="0.25">
      <c r="A5" s="3" t="s">
        <v>532</v>
      </c>
      <c r="B5" s="40"/>
      <c r="C5" s="40"/>
      <c r="D5" s="162"/>
      <c r="E5" s="162">
        <v>174</v>
      </c>
      <c r="F5" s="14">
        <v>174</v>
      </c>
      <c r="G5" s="193">
        <v>97</v>
      </c>
      <c r="H5" s="193">
        <v>103</v>
      </c>
      <c r="I5" s="193">
        <v>0</v>
      </c>
      <c r="J5" s="193">
        <v>3</v>
      </c>
      <c r="K5" s="193">
        <v>9</v>
      </c>
      <c r="L5" s="193">
        <v>9</v>
      </c>
      <c r="M5" s="193">
        <v>9</v>
      </c>
      <c r="N5" s="193">
        <v>9</v>
      </c>
      <c r="O5" s="193">
        <v>9</v>
      </c>
      <c r="P5" s="193">
        <v>37</v>
      </c>
      <c r="Q5" s="193">
        <v>46</v>
      </c>
      <c r="R5" s="169">
        <v>93</v>
      </c>
      <c r="S5" s="169">
        <v>93</v>
      </c>
      <c r="T5" s="169">
        <v>93</v>
      </c>
      <c r="U5" s="169">
        <v>93</v>
      </c>
      <c r="V5" s="169">
        <v>93</v>
      </c>
      <c r="W5" s="169">
        <v>93</v>
      </c>
      <c r="X5" s="169">
        <v>93</v>
      </c>
      <c r="Y5" s="169">
        <v>93</v>
      </c>
      <c r="Z5" s="169">
        <v>93</v>
      </c>
      <c r="AA5" s="169">
        <v>93</v>
      </c>
      <c r="AB5" s="169">
        <v>93</v>
      </c>
      <c r="AC5" s="169">
        <v>93</v>
      </c>
      <c r="AD5" s="169">
        <v>93</v>
      </c>
      <c r="AE5" s="169">
        <v>93</v>
      </c>
      <c r="AG5" s="7">
        <v>93</v>
      </c>
      <c r="AH5" t="s">
        <v>640</v>
      </c>
      <c r="AK5" s="61" t="s">
        <v>650</v>
      </c>
    </row>
    <row r="6" spans="1:38" x14ac:dyDescent="0.25">
      <c r="A6" s="3" t="s">
        <v>25</v>
      </c>
      <c r="B6" s="40">
        <v>358</v>
      </c>
      <c r="C6" s="40">
        <v>359</v>
      </c>
      <c r="D6" s="162">
        <v>373</v>
      </c>
      <c r="E6" s="162"/>
      <c r="F6" s="14"/>
      <c r="G6" s="193"/>
      <c r="H6" s="193" t="s">
        <v>584</v>
      </c>
      <c r="I6" t="s">
        <v>583</v>
      </c>
      <c r="L6" t="s">
        <v>610</v>
      </c>
      <c r="AH6" t="s">
        <v>649</v>
      </c>
    </row>
    <row r="7" spans="1:38" ht="60" x14ac:dyDescent="0.25">
      <c r="A7" s="1" t="s">
        <v>3</v>
      </c>
      <c r="B7" s="39">
        <v>801</v>
      </c>
      <c r="C7" s="39"/>
      <c r="D7" s="163"/>
      <c r="E7" s="163"/>
      <c r="F7" s="2"/>
      <c r="G7" s="165"/>
      <c r="H7" s="165"/>
      <c r="I7" s="229"/>
      <c r="J7" s="229"/>
      <c r="K7" s="229"/>
      <c r="L7" s="229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t="s">
        <v>603</v>
      </c>
      <c r="AJ7" s="83" t="s">
        <v>617</v>
      </c>
      <c r="AK7" s="252" t="s">
        <v>666</v>
      </c>
      <c r="AL7" s="253" t="s">
        <v>670</v>
      </c>
    </row>
    <row r="8" spans="1:38" x14ac:dyDescent="0.25">
      <c r="A8" s="3" t="s">
        <v>533</v>
      </c>
      <c r="B8" s="40">
        <v>937</v>
      </c>
      <c r="C8" s="40">
        <v>989</v>
      </c>
      <c r="D8" s="162">
        <v>827</v>
      </c>
      <c r="E8" s="162">
        <v>861</v>
      </c>
      <c r="F8" s="4">
        <f>639+137+51+45</f>
        <v>872</v>
      </c>
      <c r="G8" s="169">
        <v>890</v>
      </c>
      <c r="H8" s="169">
        <v>866</v>
      </c>
      <c r="I8" s="169">
        <v>2</v>
      </c>
      <c r="J8" s="169">
        <v>17</v>
      </c>
      <c r="K8" s="169">
        <v>17</v>
      </c>
      <c r="L8" s="169">
        <v>19</v>
      </c>
      <c r="M8" s="169">
        <v>35</v>
      </c>
      <c r="N8" s="169">
        <v>50</v>
      </c>
      <c r="O8" s="169">
        <v>331</v>
      </c>
      <c r="P8" s="244">
        <f>369</f>
        <v>369</v>
      </c>
      <c r="Q8" s="244">
        <f>396</f>
        <v>396</v>
      </c>
      <c r="R8" s="244">
        <v>408</v>
      </c>
      <c r="S8" s="244">
        <v>436</v>
      </c>
      <c r="T8" s="256">
        <v>453</v>
      </c>
      <c r="U8" s="256">
        <f>557-28</f>
        <v>529</v>
      </c>
      <c r="V8" s="260">
        <f>19+68+494+25</f>
        <v>606</v>
      </c>
      <c r="W8" s="260">
        <f>19+68+508+25</f>
        <v>620</v>
      </c>
      <c r="X8" s="260">
        <f>22+79+520+29+6</f>
        <v>656</v>
      </c>
      <c r="Y8" s="260">
        <f>25+101+538+35+6</f>
        <v>705</v>
      </c>
      <c r="Z8" s="260">
        <f>29+114+553+39+12</f>
        <v>747</v>
      </c>
      <c r="AA8" s="260">
        <f>29+114+553+39+12</f>
        <v>747</v>
      </c>
      <c r="AB8" s="260">
        <f>29+114+587+39+12</f>
        <v>781</v>
      </c>
      <c r="AC8" s="260">
        <f>52+193+41+586-8-9-37</f>
        <v>818</v>
      </c>
      <c r="AD8" s="260">
        <f>52+191+62+567-8-9-27</f>
        <v>828</v>
      </c>
      <c r="AE8" s="260">
        <f>52+191+62+567-8-9-27</f>
        <v>828</v>
      </c>
      <c r="AF8" s="268">
        <f>AE8+AE9</f>
        <v>948</v>
      </c>
      <c r="AG8" s="268">
        <v>1027</v>
      </c>
      <c r="AH8">
        <f>AG8-131</f>
        <v>896</v>
      </c>
      <c r="AI8">
        <v>508</v>
      </c>
      <c r="AJ8">
        <v>857</v>
      </c>
      <c r="AK8" s="263">
        <f>AD8-853</f>
        <v>-25</v>
      </c>
      <c r="AL8" s="262">
        <f>AD8-857</f>
        <v>-29</v>
      </c>
    </row>
    <row r="9" spans="1:38" x14ac:dyDescent="0.25">
      <c r="A9" s="3" t="s">
        <v>534</v>
      </c>
      <c r="B9" s="40"/>
      <c r="C9" s="40"/>
      <c r="D9" s="162"/>
      <c r="E9" s="162"/>
      <c r="F9" s="4"/>
      <c r="G9" s="169">
        <v>170</v>
      </c>
      <c r="H9" s="169">
        <v>165</v>
      </c>
      <c r="I9" s="169"/>
      <c r="J9" s="169"/>
      <c r="K9" s="169"/>
      <c r="L9" s="169"/>
      <c r="M9" s="169"/>
      <c r="N9" s="169">
        <v>3</v>
      </c>
      <c r="O9" s="169">
        <v>21</v>
      </c>
      <c r="P9" s="169">
        <v>22</v>
      </c>
      <c r="Q9" s="169">
        <v>23</v>
      </c>
      <c r="R9" s="169">
        <v>23</v>
      </c>
      <c r="S9" s="169">
        <v>26</v>
      </c>
      <c r="T9" s="169">
        <v>28</v>
      </c>
      <c r="U9" s="169">
        <v>28</v>
      </c>
      <c r="V9" s="169">
        <v>40</v>
      </c>
      <c r="W9" s="169">
        <v>47</v>
      </c>
      <c r="X9" s="169">
        <v>52</v>
      </c>
      <c r="Y9" s="169">
        <v>52</v>
      </c>
      <c r="Z9" s="169">
        <v>60</v>
      </c>
      <c r="AA9" s="169">
        <v>60</v>
      </c>
      <c r="AB9" s="169">
        <v>66</v>
      </c>
      <c r="AC9" s="169">
        <f>66+9+8+37</f>
        <v>120</v>
      </c>
      <c r="AD9" s="169">
        <f>66+9+8+37</f>
        <v>120</v>
      </c>
      <c r="AE9" s="169">
        <f>66+9+8+37</f>
        <v>120</v>
      </c>
      <c r="AG9" s="7">
        <f>AG8-AF8</f>
        <v>79</v>
      </c>
      <c r="AH9">
        <f>AD9-AC9</f>
        <v>0</v>
      </c>
      <c r="AI9" s="7">
        <v>47</v>
      </c>
      <c r="AJ9" s="7">
        <v>157</v>
      </c>
      <c r="AK9" s="245">
        <f>AD9-157</f>
        <v>-37</v>
      </c>
      <c r="AL9" s="221">
        <f>AD9-146</f>
        <v>-26</v>
      </c>
    </row>
    <row r="10" spans="1:38" x14ac:dyDescent="0.25">
      <c r="A10" s="3" t="s">
        <v>142</v>
      </c>
      <c r="B10" s="40"/>
      <c r="C10" s="40">
        <v>105</v>
      </c>
      <c r="D10" s="162">
        <v>176</v>
      </c>
      <c r="E10" s="162"/>
      <c r="F10" s="4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220"/>
      <c r="Z10" s="220"/>
      <c r="AA10" s="220"/>
      <c r="AB10" s="220"/>
      <c r="AC10" s="220"/>
      <c r="AD10" s="220"/>
      <c r="AE10" s="220">
        <v>660</v>
      </c>
      <c r="AF10" s="250"/>
      <c r="AG10" s="250"/>
      <c r="AH10" s="83">
        <f>AD8+AD9</f>
        <v>948</v>
      </c>
      <c r="AI10" t="s">
        <v>613</v>
      </c>
      <c r="AJ10">
        <v>882</v>
      </c>
      <c r="AK10">
        <f>AJ10-AH10</f>
        <v>-66</v>
      </c>
    </row>
    <row r="11" spans="1:38" x14ac:dyDescent="0.25">
      <c r="A11" s="3" t="s">
        <v>161</v>
      </c>
      <c r="B11" s="40">
        <v>938</v>
      </c>
      <c r="C11" s="40">
        <v>861</v>
      </c>
      <c r="D11" s="162">
        <v>814</v>
      </c>
      <c r="E11" s="162">
        <v>531</v>
      </c>
      <c r="F11" s="4">
        <v>471</v>
      </c>
      <c r="G11" s="169">
        <v>518</v>
      </c>
      <c r="H11" s="169">
        <v>630</v>
      </c>
      <c r="I11" s="169">
        <v>4</v>
      </c>
      <c r="J11" s="169">
        <v>4</v>
      </c>
      <c r="K11" s="169">
        <v>4</v>
      </c>
      <c r="L11" s="169">
        <f>37-19</f>
        <v>18</v>
      </c>
      <c r="M11" s="169">
        <v>26</v>
      </c>
      <c r="N11" s="169">
        <f>31+2</f>
        <v>33</v>
      </c>
      <c r="O11" s="169">
        <f>59+3</f>
        <v>62</v>
      </c>
      <c r="P11" s="169">
        <f>81+4</f>
        <v>85</v>
      </c>
      <c r="Q11" s="169">
        <f>101+5</f>
        <v>106</v>
      </c>
      <c r="R11" s="169">
        <v>112</v>
      </c>
      <c r="S11" s="169">
        <f>114+8</f>
        <v>122</v>
      </c>
      <c r="T11" s="169">
        <f>129+9</f>
        <v>138</v>
      </c>
      <c r="U11" s="169">
        <v>190</v>
      </c>
      <c r="V11" s="169">
        <v>200</v>
      </c>
      <c r="W11" s="169">
        <v>210</v>
      </c>
      <c r="X11" s="169">
        <v>227</v>
      </c>
      <c r="Y11" s="169">
        <v>232</v>
      </c>
      <c r="Z11" s="169">
        <v>284</v>
      </c>
      <c r="AA11" s="169">
        <f>259+18</f>
        <v>277</v>
      </c>
      <c r="AB11" s="169">
        <v>452</v>
      </c>
      <c r="AC11" s="169">
        <v>533</v>
      </c>
      <c r="AD11" s="169">
        <f>544+42</f>
        <v>586</v>
      </c>
      <c r="AE11" s="169">
        <f>544+42</f>
        <v>586</v>
      </c>
      <c r="AF11" s="7">
        <f>AF8+AE11</f>
        <v>1534</v>
      </c>
      <c r="AG11" s="7">
        <v>814</v>
      </c>
      <c r="AH11">
        <f>AH10+AD11</f>
        <v>1534</v>
      </c>
      <c r="AI11" s="7" t="s">
        <v>667</v>
      </c>
      <c r="AJ11">
        <v>481</v>
      </c>
      <c r="AK11" s="263">
        <f>AD11-463</f>
        <v>123</v>
      </c>
      <c r="AL11" s="265">
        <f>AD11-481</f>
        <v>105</v>
      </c>
    </row>
    <row r="12" spans="1:38" x14ac:dyDescent="0.25">
      <c r="A12" s="3" t="s">
        <v>5</v>
      </c>
      <c r="B12" s="40"/>
      <c r="C12" s="40">
        <v>284</v>
      </c>
      <c r="D12" s="162">
        <v>226</v>
      </c>
      <c r="E12" s="162">
        <v>169</v>
      </c>
      <c r="F12" s="4">
        <v>218</v>
      </c>
      <c r="G12" s="169">
        <v>172</v>
      </c>
      <c r="H12" s="169">
        <v>212</v>
      </c>
      <c r="I12" s="169"/>
      <c r="J12" s="169"/>
      <c r="K12" s="169"/>
      <c r="L12" s="169"/>
      <c r="M12" s="169"/>
      <c r="N12" s="169"/>
      <c r="O12" s="169">
        <v>1</v>
      </c>
      <c r="P12" s="169">
        <v>19</v>
      </c>
      <c r="Q12" s="169">
        <v>3</v>
      </c>
      <c r="R12" s="169">
        <v>4</v>
      </c>
      <c r="S12" s="169">
        <v>25</v>
      </c>
      <c r="T12" s="169">
        <v>27</v>
      </c>
      <c r="U12" s="169">
        <v>27</v>
      </c>
      <c r="V12" s="169">
        <f>286-4-V13</f>
        <v>263</v>
      </c>
      <c r="W12" s="169">
        <f>286-4-W13</f>
        <v>261</v>
      </c>
      <c r="X12" s="169">
        <f>286-4-X13</f>
        <v>260</v>
      </c>
      <c r="Y12" s="169">
        <f>286-4-Y13</f>
        <v>249</v>
      </c>
      <c r="Z12" s="169">
        <f>286-6-Z13</f>
        <v>257</v>
      </c>
      <c r="AA12" s="169">
        <f>286-6-AA13</f>
        <v>257</v>
      </c>
      <c r="AB12" s="169">
        <f>286-6-AB13</f>
        <v>257</v>
      </c>
      <c r="AC12" s="169">
        <f>286-6-AC13</f>
        <v>251</v>
      </c>
      <c r="AD12" s="169">
        <f>7+267-6-AD13</f>
        <v>238</v>
      </c>
      <c r="AE12" s="169">
        <v>234</v>
      </c>
      <c r="AF12" s="257">
        <f>AG11+AG8</f>
        <v>1841</v>
      </c>
      <c r="AG12" s="257">
        <f>291-AG13</f>
        <v>261</v>
      </c>
      <c r="AH12" s="257">
        <f>AG11-586</f>
        <v>228</v>
      </c>
    </row>
    <row r="13" spans="1:38" x14ac:dyDescent="0.25">
      <c r="A13" s="3" t="s">
        <v>307</v>
      </c>
      <c r="B13" s="40"/>
      <c r="C13" s="40"/>
      <c r="D13" s="162">
        <v>35</v>
      </c>
      <c r="E13" s="162">
        <v>23</v>
      </c>
      <c r="F13" s="4">
        <v>44</v>
      </c>
      <c r="G13" s="169">
        <v>24</v>
      </c>
      <c r="H13" s="169">
        <v>18</v>
      </c>
      <c r="I13" s="169"/>
      <c r="J13" s="169"/>
      <c r="K13" s="169"/>
      <c r="L13" s="169"/>
      <c r="M13" s="169"/>
      <c r="N13" s="169"/>
      <c r="O13" s="169"/>
      <c r="P13" s="169"/>
      <c r="Q13" s="169">
        <v>17</v>
      </c>
      <c r="R13" s="169">
        <v>17</v>
      </c>
      <c r="S13" s="169">
        <v>18</v>
      </c>
      <c r="T13" s="169">
        <v>18</v>
      </c>
      <c r="U13" s="169">
        <v>19</v>
      </c>
      <c r="V13" s="169">
        <v>19</v>
      </c>
      <c r="W13" s="169">
        <v>21</v>
      </c>
      <c r="X13" s="169">
        <v>22</v>
      </c>
      <c r="Y13" s="169">
        <v>33</v>
      </c>
      <c r="Z13" s="169">
        <v>23</v>
      </c>
      <c r="AA13" s="169">
        <v>23</v>
      </c>
      <c r="AB13" s="169">
        <v>23</v>
      </c>
      <c r="AC13" s="169">
        <v>29</v>
      </c>
      <c r="AD13" s="169">
        <v>30</v>
      </c>
      <c r="AE13" s="169">
        <v>30</v>
      </c>
      <c r="AF13" s="257"/>
      <c r="AG13" s="257">
        <v>30</v>
      </c>
      <c r="AH13" s="257"/>
    </row>
    <row r="14" spans="1:38" x14ac:dyDescent="0.25">
      <c r="A14" s="3" t="s">
        <v>479</v>
      </c>
      <c r="B14" s="40"/>
      <c r="C14" s="40"/>
      <c r="D14" s="162">
        <v>27</v>
      </c>
      <c r="E14" s="162">
        <v>56</v>
      </c>
      <c r="F14" s="4">
        <f>26+17</f>
        <v>43</v>
      </c>
      <c r="G14" s="169">
        <v>52</v>
      </c>
      <c r="H14" s="169">
        <v>47</v>
      </c>
      <c r="I14" s="169"/>
      <c r="J14" s="169"/>
      <c r="K14" s="169"/>
      <c r="L14" s="169"/>
      <c r="M14" s="169"/>
      <c r="N14" s="169"/>
      <c r="O14" s="169"/>
      <c r="P14" s="169">
        <v>3</v>
      </c>
      <c r="S14" s="7">
        <f t="shared" ref="S14:Y14" si="0">2+1</f>
        <v>3</v>
      </c>
      <c r="T14" s="7">
        <f t="shared" si="0"/>
        <v>3</v>
      </c>
      <c r="U14" s="7">
        <f t="shared" si="0"/>
        <v>3</v>
      </c>
      <c r="V14" s="7">
        <f t="shared" si="0"/>
        <v>3</v>
      </c>
      <c r="W14" s="7">
        <f t="shared" si="0"/>
        <v>3</v>
      </c>
      <c r="X14" s="7">
        <f t="shared" si="0"/>
        <v>3</v>
      </c>
      <c r="Y14" s="7">
        <f t="shared" si="0"/>
        <v>3</v>
      </c>
      <c r="Z14" s="7">
        <f>2+4</f>
        <v>6</v>
      </c>
      <c r="AA14" s="7">
        <f>2+4</f>
        <v>6</v>
      </c>
      <c r="AB14" s="7">
        <f>2+4</f>
        <v>6</v>
      </c>
      <c r="AC14" s="7">
        <f>2+4+3+7</f>
        <v>16</v>
      </c>
      <c r="AD14" s="7">
        <f>37+2</f>
        <v>39</v>
      </c>
      <c r="AE14" s="7">
        <f>37+2</f>
        <v>39</v>
      </c>
      <c r="AH14">
        <v>1378</v>
      </c>
      <c r="AI14" s="7" t="s">
        <v>554</v>
      </c>
      <c r="AJ14">
        <f>AH14+AI15</f>
        <v>1543</v>
      </c>
    </row>
    <row r="15" spans="1:38" x14ac:dyDescent="0.25">
      <c r="A15" s="3" t="s">
        <v>321</v>
      </c>
      <c r="B15" s="40"/>
      <c r="C15" s="40">
        <f>13+6</f>
        <v>19</v>
      </c>
      <c r="D15" s="162">
        <v>39</v>
      </c>
      <c r="E15" s="162">
        <v>40</v>
      </c>
      <c r="F15" s="4">
        <v>12</v>
      </c>
      <c r="G15" s="169">
        <v>7</v>
      </c>
      <c r="H15" s="169">
        <v>29</v>
      </c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>
        <f>1+2</f>
        <v>3</v>
      </c>
      <c r="X15" s="169">
        <f>1+2</f>
        <v>3</v>
      </c>
      <c r="Y15" s="169">
        <f>1+6+1</f>
        <v>8</v>
      </c>
      <c r="Z15" s="169">
        <f>1+6+1</f>
        <v>8</v>
      </c>
      <c r="AA15" s="169">
        <f>1+6+1</f>
        <v>8</v>
      </c>
      <c r="AB15" s="169">
        <f>1+6+1</f>
        <v>8</v>
      </c>
      <c r="AC15" s="169">
        <f>1+6+5</f>
        <v>12</v>
      </c>
      <c r="AD15" s="169">
        <f>2+7+5+18</f>
        <v>32</v>
      </c>
      <c r="AE15" s="169">
        <f>2+7+5+18</f>
        <v>32</v>
      </c>
      <c r="AF15" s="7">
        <f>848+70+30-41</f>
        <v>907</v>
      </c>
      <c r="AH15" t="s">
        <v>555</v>
      </c>
      <c r="AI15">
        <v>165</v>
      </c>
    </row>
    <row r="16" spans="1:38" x14ac:dyDescent="0.25">
      <c r="A16" s="3" t="s">
        <v>162</v>
      </c>
      <c r="B16" s="40"/>
      <c r="C16" s="40">
        <v>693</v>
      </c>
      <c r="D16" s="162">
        <v>885</v>
      </c>
      <c r="E16" s="162">
        <v>821</v>
      </c>
      <c r="F16" s="4">
        <v>809</v>
      </c>
      <c r="G16" s="169">
        <v>847</v>
      </c>
      <c r="H16" s="169">
        <v>1027</v>
      </c>
      <c r="I16" s="169"/>
      <c r="J16" s="169"/>
      <c r="K16" s="169"/>
      <c r="L16" s="169"/>
      <c r="M16" s="169"/>
      <c r="N16" s="169"/>
      <c r="O16" s="169"/>
      <c r="P16" s="169">
        <v>1</v>
      </c>
      <c r="Q16" s="169">
        <v>1</v>
      </c>
      <c r="R16" s="169">
        <v>1</v>
      </c>
      <c r="S16" s="169">
        <v>1</v>
      </c>
      <c r="T16" s="169">
        <v>1</v>
      </c>
      <c r="U16" s="169">
        <v>1</v>
      </c>
      <c r="V16" s="169">
        <v>1</v>
      </c>
      <c r="W16" s="169">
        <v>1</v>
      </c>
      <c r="X16" s="169">
        <v>1</v>
      </c>
      <c r="Y16" s="169">
        <v>3</v>
      </c>
      <c r="Z16" s="169">
        <v>3</v>
      </c>
      <c r="AA16" s="169">
        <v>3</v>
      </c>
      <c r="AB16" s="169">
        <v>3</v>
      </c>
      <c r="AC16" s="169">
        <v>491</v>
      </c>
      <c r="AD16" s="169">
        <v>632</v>
      </c>
      <c r="AE16" s="169">
        <v>636</v>
      </c>
      <c r="AG16" s="7">
        <v>1127</v>
      </c>
    </row>
    <row r="17" spans="1:38" x14ac:dyDescent="0.25">
      <c r="A17" s="3" t="s">
        <v>313</v>
      </c>
      <c r="B17" s="40"/>
      <c r="C17" s="40"/>
      <c r="D17" s="162">
        <v>156</v>
      </c>
      <c r="E17" s="162">
        <v>98</v>
      </c>
      <c r="F17" s="4"/>
      <c r="G17" s="169">
        <v>85</v>
      </c>
      <c r="H17" s="169">
        <v>452</v>
      </c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>
        <v>2</v>
      </c>
      <c r="W17" s="169">
        <v>2</v>
      </c>
      <c r="X17" s="169">
        <v>3</v>
      </c>
      <c r="Y17" s="169">
        <v>3</v>
      </c>
      <c r="Z17" s="169">
        <v>3</v>
      </c>
      <c r="AA17" s="169">
        <v>3</v>
      </c>
      <c r="AB17" s="169">
        <v>3</v>
      </c>
      <c r="AC17" s="169">
        <v>151</v>
      </c>
      <c r="AD17" s="169">
        <v>151</v>
      </c>
      <c r="AE17" s="169">
        <v>151</v>
      </c>
    </row>
    <row r="18" spans="1:38" x14ac:dyDescent="0.25">
      <c r="A18" s="1" t="s">
        <v>217</v>
      </c>
      <c r="B18" s="41">
        <f>SUM(B8:B15)</f>
        <v>1875</v>
      </c>
      <c r="C18" s="41">
        <f>SUM(C8:C17)</f>
        <v>2951</v>
      </c>
      <c r="D18" s="164">
        <f>SUM(D8:D17)</f>
        <v>3185</v>
      </c>
      <c r="E18" s="164">
        <f>SUM(E8:E17)</f>
        <v>2599</v>
      </c>
      <c r="F18" s="5">
        <f>SUM(F8:F16)</f>
        <v>2469</v>
      </c>
      <c r="G18" s="5">
        <f>SUM(G8:G16)</f>
        <v>2680</v>
      </c>
      <c r="H18" s="5">
        <f>SUM(H8:H16)</f>
        <v>2994</v>
      </c>
      <c r="I18" s="194">
        <f t="shared" ref="I18:J18" si="1">SUM(I8:I15)</f>
        <v>6</v>
      </c>
      <c r="J18" s="194">
        <f t="shared" si="1"/>
        <v>21</v>
      </c>
      <c r="K18" s="194">
        <f t="shared" ref="K18" si="2">SUM(K8:K15)</f>
        <v>21</v>
      </c>
      <c r="L18" s="194">
        <f t="shared" ref="L18:M18" si="3">SUM(L8:L15)</f>
        <v>37</v>
      </c>
      <c r="M18" s="194">
        <f t="shared" si="3"/>
        <v>61</v>
      </c>
      <c r="N18" s="194">
        <f t="shared" ref="N18:O18" si="4">SUM(N8:N15)</f>
        <v>86</v>
      </c>
      <c r="O18" s="194">
        <f t="shared" si="4"/>
        <v>415</v>
      </c>
      <c r="P18" s="194">
        <f t="shared" ref="P18:U18" si="5">SUM(P8:P16)</f>
        <v>499</v>
      </c>
      <c r="Q18" s="194">
        <f t="shared" si="5"/>
        <v>546</v>
      </c>
      <c r="R18" s="194">
        <f t="shared" si="5"/>
        <v>565</v>
      </c>
      <c r="S18" s="194">
        <f t="shared" si="5"/>
        <v>631</v>
      </c>
      <c r="T18" s="194">
        <f t="shared" si="5"/>
        <v>668</v>
      </c>
      <c r="U18" s="194">
        <f t="shared" si="5"/>
        <v>797</v>
      </c>
      <c r="V18" s="259">
        <f>SUM(V8:V16)</f>
        <v>1132</v>
      </c>
      <c r="W18" s="259">
        <f t="shared" ref="W18:AB18" si="6">SUM(W8:W16)-W12</f>
        <v>905</v>
      </c>
      <c r="X18" s="259">
        <f t="shared" si="6"/>
        <v>964</v>
      </c>
      <c r="Y18" s="259">
        <f t="shared" si="6"/>
        <v>1036</v>
      </c>
      <c r="Z18" s="259">
        <f t="shared" si="6"/>
        <v>1131</v>
      </c>
      <c r="AA18" s="259">
        <f t="shared" si="6"/>
        <v>1124</v>
      </c>
      <c r="AB18" s="259">
        <f t="shared" si="6"/>
        <v>1339</v>
      </c>
      <c r="AC18" s="259">
        <f>SUM(AC8:AC16)-AC12</f>
        <v>2019</v>
      </c>
      <c r="AD18" s="259">
        <f>SUM(AD8:AD16)-AD12</f>
        <v>2267</v>
      </c>
      <c r="AE18" s="259">
        <f>SUM(AE8:AE16)-AE12</f>
        <v>2931</v>
      </c>
      <c r="AF18" s="269"/>
      <c r="AG18" s="5">
        <f>SUM(AG8:AG16)</f>
        <v>3338</v>
      </c>
      <c r="AH18">
        <f>1027+814</f>
        <v>1841</v>
      </c>
    </row>
    <row r="19" spans="1:38" x14ac:dyDescent="0.25">
      <c r="A19" s="6"/>
      <c r="B19" s="40"/>
      <c r="C19" s="97"/>
      <c r="D19" s="97"/>
      <c r="E19" s="97"/>
      <c r="F19" s="4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</row>
    <row r="20" spans="1:38" x14ac:dyDescent="0.25">
      <c r="A20" s="1" t="s">
        <v>8</v>
      </c>
      <c r="B20" s="2"/>
      <c r="C20" s="2"/>
      <c r="D20" s="165"/>
      <c r="E20" s="165"/>
      <c r="F20" s="2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56"/>
      <c r="AG20" s="156"/>
      <c r="AH20" s="44"/>
    </row>
    <row r="21" spans="1:38" x14ac:dyDescent="0.25">
      <c r="A21" s="54" t="s">
        <v>536</v>
      </c>
      <c r="B21" s="42" t="s">
        <v>218</v>
      </c>
      <c r="C21" s="53">
        <f>167086</f>
        <v>167086</v>
      </c>
      <c r="D21" s="166"/>
      <c r="E21" s="166">
        <v>182937.25</v>
      </c>
      <c r="F21" s="53">
        <f>208533.9/1.2</f>
        <v>173778.25</v>
      </c>
      <c r="G21" s="166">
        <v>165483</v>
      </c>
      <c r="H21" s="166">
        <f>220993.6/1.2</f>
        <v>184161.33333333334</v>
      </c>
      <c r="I21" s="166">
        <f>520/1.2</f>
        <v>433.33333333333337</v>
      </c>
      <c r="J21" s="166">
        <f>520/1.2</f>
        <v>433.33333333333337</v>
      </c>
      <c r="K21" s="166">
        <f>520/1.2</f>
        <v>433.33333333333337</v>
      </c>
      <c r="L21" s="166">
        <f>5444/1.2</f>
        <v>4536.666666666667</v>
      </c>
      <c r="M21" s="166">
        <f>8212/1.2</f>
        <v>6843.3333333333339</v>
      </c>
      <c r="N21" s="166">
        <f>15676/1.2</f>
        <v>13063.333333333334</v>
      </c>
      <c r="O21" s="166">
        <f>61575/1.2</f>
        <v>51312.5</v>
      </c>
      <c r="P21" s="166">
        <f>78529/1.2</f>
        <v>65440.833333333336</v>
      </c>
      <c r="Q21" s="166">
        <f>79877.2/1.2</f>
        <v>66564.333333333328</v>
      </c>
      <c r="R21" s="166">
        <f>82067.2/1.2</f>
        <v>68389.333333333328</v>
      </c>
      <c r="S21" s="166">
        <f>86813.2/1.2</f>
        <v>72344.333333333328</v>
      </c>
      <c r="T21" s="166">
        <f>93682.2/1.2</f>
        <v>78068.5</v>
      </c>
      <c r="U21" s="166">
        <f>109036.2/1.2</f>
        <v>90863.5</v>
      </c>
      <c r="V21" s="166">
        <f>124366.2/1.2</f>
        <v>103638.5</v>
      </c>
      <c r="W21" s="166">
        <f>129852.2/1.2</f>
        <v>108210.16666666667</v>
      </c>
      <c r="X21" s="166">
        <f>140585.2/1.2</f>
        <v>117154.33333333334</v>
      </c>
      <c r="Y21" s="166">
        <f>149419.2/1.2</f>
        <v>124516.00000000001</v>
      </c>
      <c r="Z21" s="166">
        <f>164880.2/1.2</f>
        <v>137400.16666666669</v>
      </c>
      <c r="AA21" s="166">
        <f>171408.2/1.2</f>
        <v>142840.16666666669</v>
      </c>
      <c r="AB21" s="166">
        <v>143259</v>
      </c>
      <c r="AC21" s="166">
        <f>190260/1.2</f>
        <v>158550</v>
      </c>
      <c r="AD21" s="166">
        <f>197589/1.2</f>
        <v>164657.5</v>
      </c>
      <c r="AE21" s="166">
        <f>197589/1.2</f>
        <v>164657.5</v>
      </c>
      <c r="AF21" s="157"/>
      <c r="AG21" s="157"/>
      <c r="AH21" s="44">
        <f>(AD21*1.2)/AH10</f>
        <v>208.42721518987341</v>
      </c>
    </row>
    <row r="22" spans="1:38" x14ac:dyDescent="0.25">
      <c r="A22" s="54" t="s">
        <v>537</v>
      </c>
      <c r="B22" s="42"/>
      <c r="C22" s="53"/>
      <c r="D22" s="166"/>
      <c r="E22" s="166"/>
      <c r="F22" s="53"/>
      <c r="G22" s="166">
        <v>29416.58</v>
      </c>
      <c r="H22" s="166" t="s">
        <v>581</v>
      </c>
      <c r="I22" s="166" t="s">
        <v>581</v>
      </c>
      <c r="J22" s="166" t="s">
        <v>581</v>
      </c>
      <c r="K22" s="166" t="s">
        <v>581</v>
      </c>
      <c r="L22" s="166" t="s">
        <v>581</v>
      </c>
      <c r="M22" s="166" t="s">
        <v>581</v>
      </c>
      <c r="N22" s="166" t="s">
        <v>581</v>
      </c>
      <c r="O22" s="166" t="s">
        <v>581</v>
      </c>
      <c r="P22" s="166" t="s">
        <v>581</v>
      </c>
      <c r="Q22" s="166" t="s">
        <v>581</v>
      </c>
      <c r="R22" s="166" t="s">
        <v>581</v>
      </c>
      <c r="S22" s="166" t="s">
        <v>581</v>
      </c>
      <c r="T22" s="166" t="s">
        <v>581</v>
      </c>
      <c r="U22" s="166" t="s">
        <v>581</v>
      </c>
      <c r="V22" s="166" t="s">
        <v>581</v>
      </c>
      <c r="W22" s="166" t="s">
        <v>581</v>
      </c>
      <c r="X22" s="166" t="s">
        <v>581</v>
      </c>
      <c r="Y22" s="166" t="s">
        <v>581</v>
      </c>
      <c r="Z22" s="166" t="s">
        <v>581</v>
      </c>
      <c r="AA22" s="166" t="s">
        <v>581</v>
      </c>
      <c r="AB22" s="166" t="s">
        <v>581</v>
      </c>
      <c r="AC22" s="166" t="s">
        <v>581</v>
      </c>
      <c r="AD22" s="166" t="s">
        <v>581</v>
      </c>
      <c r="AE22" s="166" t="s">
        <v>581</v>
      </c>
      <c r="AF22" s="157"/>
      <c r="AG22" s="157"/>
    </row>
    <row r="23" spans="1:38" x14ac:dyDescent="0.25">
      <c r="A23" s="8" t="s">
        <v>611</v>
      </c>
      <c r="B23" s="42"/>
      <c r="C23" s="42">
        <v>10980</v>
      </c>
      <c r="D23" s="167"/>
      <c r="E23" s="167">
        <v>10330</v>
      </c>
      <c r="F23" s="9">
        <v>12355</v>
      </c>
      <c r="G23" s="195">
        <v>21375</v>
      </c>
      <c r="H23" s="195">
        <f>31990+1985</f>
        <v>33975</v>
      </c>
      <c r="I23" s="195">
        <f>2085+4890+700</f>
        <v>7675</v>
      </c>
      <c r="J23" s="195">
        <f>4890+700+7575</f>
        <v>13165</v>
      </c>
      <c r="K23" s="195">
        <f>4890+700+7575</f>
        <v>13165</v>
      </c>
      <c r="L23" s="195">
        <f>517435-L24</f>
        <v>24820</v>
      </c>
      <c r="M23" s="195">
        <f>540125-M24</f>
        <v>25115</v>
      </c>
      <c r="N23" s="195">
        <f>538965-N24</f>
        <v>25810</v>
      </c>
      <c r="O23" s="195">
        <f>538965-O24</f>
        <v>25810</v>
      </c>
      <c r="P23" s="195">
        <f>538965-P24</f>
        <v>25810</v>
      </c>
      <c r="Q23" s="195">
        <f>602055-Q24</f>
        <v>47090</v>
      </c>
      <c r="R23" s="195">
        <f>596069-R24</f>
        <v>39945</v>
      </c>
      <c r="S23" s="195">
        <f>603529-S24</f>
        <v>52605</v>
      </c>
      <c r="T23" s="195">
        <f>623029-T24</f>
        <v>52105</v>
      </c>
      <c r="U23" s="195">
        <f>623559-U24</f>
        <v>52605</v>
      </c>
      <c r="V23" s="195">
        <f>623559-V24</f>
        <v>52605</v>
      </c>
      <c r="W23" s="195">
        <f>627919-W24</f>
        <v>54205</v>
      </c>
      <c r="X23" s="195">
        <f>627919-X24</f>
        <v>54205</v>
      </c>
      <c r="Y23" s="195">
        <f>634813-Y24</f>
        <v>61099</v>
      </c>
      <c r="Z23" s="195">
        <f>638648-Z24</f>
        <v>56739</v>
      </c>
      <c r="AA23" s="195">
        <f>638648-AA24</f>
        <v>56739</v>
      </c>
      <c r="AB23" s="195">
        <f>638648-AB24</f>
        <v>56739</v>
      </c>
      <c r="AC23" s="195">
        <f>641568-AC24</f>
        <v>60794</v>
      </c>
      <c r="AD23" s="195">
        <f>639498-AD24</f>
        <v>60794</v>
      </c>
      <c r="AE23" s="195">
        <f>639498-AE24</f>
        <v>60794</v>
      </c>
      <c r="AF23" s="131"/>
      <c r="AG23" s="131"/>
    </row>
    <row r="24" spans="1:38" x14ac:dyDescent="0.25">
      <c r="A24" s="8" t="s">
        <v>11</v>
      </c>
      <c r="B24" s="42">
        <v>478526</v>
      </c>
      <c r="C24" s="42">
        <v>490077</v>
      </c>
      <c r="D24" s="167"/>
      <c r="E24" s="167">
        <v>496920</v>
      </c>
      <c r="F24" s="9">
        <v>523710</v>
      </c>
      <c r="G24" s="195">
        <v>531204</v>
      </c>
      <c r="H24" s="195">
        <f>578892</f>
        <v>578892</v>
      </c>
      <c r="I24" s="195">
        <v>378115</v>
      </c>
      <c r="J24" s="195">
        <v>446450</v>
      </c>
      <c r="K24" s="195">
        <v>446450</v>
      </c>
      <c r="L24" s="195">
        <v>492615</v>
      </c>
      <c r="M24" s="195">
        <v>515010</v>
      </c>
      <c r="N24" s="195">
        <v>513155</v>
      </c>
      <c r="O24" s="195">
        <v>513155</v>
      </c>
      <c r="P24" s="195">
        <v>513155</v>
      </c>
      <c r="Q24" s="195">
        <v>554965</v>
      </c>
      <c r="R24" s="195">
        <v>556124</v>
      </c>
      <c r="S24" s="195">
        <v>550924</v>
      </c>
      <c r="T24" s="195">
        <v>570924</v>
      </c>
      <c r="U24" s="195">
        <v>570954</v>
      </c>
      <c r="V24" s="195">
        <v>570954</v>
      </c>
      <c r="W24" s="195">
        <v>573714</v>
      </c>
      <c r="X24" s="195">
        <v>573714</v>
      </c>
      <c r="Y24" s="195">
        <v>573714</v>
      </c>
      <c r="Z24" s="195">
        <v>581909</v>
      </c>
      <c r="AA24" s="195">
        <v>581909</v>
      </c>
      <c r="AB24" s="195">
        <v>581909</v>
      </c>
      <c r="AC24" s="195">
        <v>580774</v>
      </c>
      <c r="AD24" s="195">
        <v>578704</v>
      </c>
      <c r="AE24" s="195">
        <v>578704</v>
      </c>
      <c r="AF24" s="131"/>
      <c r="AG24" s="131"/>
    </row>
    <row r="25" spans="1:38" ht="30" x14ac:dyDescent="0.25">
      <c r="A25" s="8" t="s">
        <v>548</v>
      </c>
      <c r="B25" s="42">
        <v>0</v>
      </c>
      <c r="C25" s="42">
        <v>18790</v>
      </c>
      <c r="D25" s="167"/>
      <c r="E25" s="167">
        <v>8630</v>
      </c>
      <c r="F25" s="9">
        <v>26970</v>
      </c>
      <c r="G25" s="195">
        <v>20335</v>
      </c>
      <c r="H25" s="195">
        <f>33877+5870+4170</f>
        <v>43917</v>
      </c>
      <c r="I25" s="195">
        <f>9495+895+3480</f>
        <v>13870</v>
      </c>
      <c r="J25" s="195">
        <f>9495+1790+3480+3475</f>
        <v>18240</v>
      </c>
      <c r="K25" s="195">
        <f>9495+1790+3480+3475</f>
        <v>18240</v>
      </c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31"/>
      <c r="AG25" s="131"/>
      <c r="AJ25" s="83" t="s">
        <v>617</v>
      </c>
      <c r="AK25" s="252" t="s">
        <v>651</v>
      </c>
      <c r="AL25" s="253" t="s">
        <v>653</v>
      </c>
    </row>
    <row r="26" spans="1:38" x14ac:dyDescent="0.25">
      <c r="A26" s="215" t="s">
        <v>582</v>
      </c>
      <c r="B26" s="216"/>
      <c r="C26" s="216"/>
      <c r="D26" s="217"/>
      <c r="E26" s="217"/>
      <c r="F26" s="216"/>
      <c r="G26" s="217">
        <f>G21+G23+G24+G25</f>
        <v>738397</v>
      </c>
      <c r="H26" s="230">
        <f t="shared" ref="H26:I26" si="7">H23+H24+H25</f>
        <v>656784</v>
      </c>
      <c r="I26" s="230">
        <f t="shared" si="7"/>
        <v>399660</v>
      </c>
      <c r="J26" s="230">
        <f t="shared" ref="J26:K26" si="8">J23+J24+J25</f>
        <v>477855</v>
      </c>
      <c r="K26" s="230">
        <f t="shared" si="8"/>
        <v>477855</v>
      </c>
      <c r="L26" s="230">
        <f t="shared" ref="L26:Q26" si="9">L23+L24+L25</f>
        <v>517435</v>
      </c>
      <c r="M26" s="230">
        <f t="shared" si="9"/>
        <v>540125</v>
      </c>
      <c r="N26" s="230">
        <f t="shared" si="9"/>
        <v>538965</v>
      </c>
      <c r="O26" s="230">
        <f t="shared" si="9"/>
        <v>538965</v>
      </c>
      <c r="P26" s="230">
        <f t="shared" si="9"/>
        <v>538965</v>
      </c>
      <c r="Q26" s="230">
        <f t="shared" si="9"/>
        <v>602055</v>
      </c>
      <c r="R26" s="230">
        <f t="shared" ref="R26:S26" si="10">R23+R24+R25</f>
        <v>596069</v>
      </c>
      <c r="S26" s="230">
        <f t="shared" si="10"/>
        <v>603529</v>
      </c>
      <c r="T26" s="230">
        <f t="shared" ref="T26:U26" si="11">T23+T24+T25</f>
        <v>623029</v>
      </c>
      <c r="U26" s="230">
        <f t="shared" si="11"/>
        <v>623559</v>
      </c>
      <c r="V26" s="230">
        <f t="shared" ref="V26:W26" si="12">V23+V24+V25</f>
        <v>623559</v>
      </c>
      <c r="W26" s="230">
        <f t="shared" si="12"/>
        <v>627919</v>
      </c>
      <c r="X26" s="230">
        <f t="shared" ref="X26:Y26" si="13">X23+X24+X25</f>
        <v>627919</v>
      </c>
      <c r="Y26" s="230">
        <f t="shared" si="13"/>
        <v>634813</v>
      </c>
      <c r="Z26" s="230">
        <f t="shared" ref="Z26:AA26" si="14">Z23+Z24+Z25</f>
        <v>638648</v>
      </c>
      <c r="AA26" s="230">
        <f t="shared" si="14"/>
        <v>638648</v>
      </c>
      <c r="AB26" s="230">
        <f t="shared" ref="AB26:AC26" si="15">AB23+AB24+AB25</f>
        <v>638648</v>
      </c>
      <c r="AC26" s="230">
        <f t="shared" si="15"/>
        <v>641568</v>
      </c>
      <c r="AD26" s="230">
        <f t="shared" ref="AD26:AE26" si="16">AD23+AD24+AD25</f>
        <v>639498</v>
      </c>
      <c r="AE26" s="230">
        <f t="shared" si="16"/>
        <v>639498</v>
      </c>
      <c r="AF26" s="270"/>
      <c r="AG26" s="270"/>
      <c r="AH26" s="132" t="s">
        <v>618</v>
      </c>
      <c r="AJ26">
        <v>656784</v>
      </c>
      <c r="AK26" s="254">
        <f>AD26-AJ26</f>
        <v>-17286</v>
      </c>
      <c r="AL26" s="264">
        <f>AD26-655579</f>
        <v>-16081</v>
      </c>
    </row>
    <row r="27" spans="1:38" hidden="1" x14ac:dyDescent="0.25">
      <c r="A27" s="8" t="s">
        <v>539</v>
      </c>
      <c r="B27" s="42"/>
      <c r="C27" s="42"/>
      <c r="D27" s="167"/>
      <c r="E27" s="167"/>
      <c r="F27" s="9"/>
      <c r="G27" s="195">
        <v>63330</v>
      </c>
      <c r="H27" s="195"/>
      <c r="I27" s="195" t="s">
        <v>581</v>
      </c>
      <c r="J27" s="195" t="s">
        <v>581</v>
      </c>
      <c r="K27" s="195" t="s">
        <v>581</v>
      </c>
      <c r="L27" s="195" t="s">
        <v>581</v>
      </c>
      <c r="M27" s="195" t="s">
        <v>581</v>
      </c>
      <c r="N27" s="195" t="s">
        <v>581</v>
      </c>
      <c r="O27" s="195" t="s">
        <v>581</v>
      </c>
      <c r="P27" s="195" t="s">
        <v>581</v>
      </c>
      <c r="Q27" s="195" t="s">
        <v>581</v>
      </c>
      <c r="R27" s="195" t="s">
        <v>581</v>
      </c>
      <c r="S27" s="195" t="s">
        <v>581</v>
      </c>
      <c r="T27" s="195" t="s">
        <v>581</v>
      </c>
      <c r="U27" s="195" t="s">
        <v>581</v>
      </c>
      <c r="V27" s="195" t="s">
        <v>581</v>
      </c>
      <c r="W27" s="195" t="s">
        <v>581</v>
      </c>
      <c r="X27" s="195" t="s">
        <v>581</v>
      </c>
      <c r="Y27" s="195" t="s">
        <v>581</v>
      </c>
      <c r="Z27" s="195" t="s">
        <v>581</v>
      </c>
      <c r="AA27" s="195" t="s">
        <v>581</v>
      </c>
      <c r="AB27" s="195" t="s">
        <v>581</v>
      </c>
      <c r="AC27" s="195" t="s">
        <v>581</v>
      </c>
      <c r="AD27" s="195" t="s">
        <v>581</v>
      </c>
      <c r="AE27" s="195" t="s">
        <v>581</v>
      </c>
      <c r="AF27" s="131"/>
      <c r="AG27" s="131"/>
      <c r="AH27" s="172"/>
    </row>
    <row r="28" spans="1:38" hidden="1" x14ac:dyDescent="0.25">
      <c r="A28" s="8" t="s">
        <v>542</v>
      </c>
      <c r="B28" s="42"/>
      <c r="C28" s="42"/>
      <c r="D28" s="167"/>
      <c r="E28" s="167"/>
      <c r="F28" s="9"/>
      <c r="G28" s="195">
        <v>21000</v>
      </c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31"/>
      <c r="AG28" s="131"/>
    </row>
    <row r="29" spans="1:38" hidden="1" x14ac:dyDescent="0.25">
      <c r="A29" s="8" t="s">
        <v>544</v>
      </c>
      <c r="B29" s="42"/>
      <c r="C29" s="42"/>
      <c r="D29" s="167"/>
      <c r="E29" s="167"/>
      <c r="F29" s="9"/>
      <c r="G29" s="195">
        <v>2870</v>
      </c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31"/>
      <c r="AG29" s="131"/>
    </row>
    <row r="30" spans="1:38" hidden="1" x14ac:dyDescent="0.25">
      <c r="A30" s="215" t="s">
        <v>541</v>
      </c>
      <c r="B30" s="216"/>
      <c r="C30" s="216"/>
      <c r="D30" s="217"/>
      <c r="E30" s="217"/>
      <c r="F30" s="216"/>
      <c r="G30" s="217">
        <f>G22+G27+G28+G29</f>
        <v>116616.58</v>
      </c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71"/>
      <c r="AG30" s="271"/>
    </row>
    <row r="31" spans="1:38" x14ac:dyDescent="0.25">
      <c r="A31" s="1" t="s">
        <v>13</v>
      </c>
      <c r="B31" s="43">
        <f>SUM(B21:B25)</f>
        <v>478526</v>
      </c>
      <c r="C31" s="10">
        <f>SUM(C21:C25)</f>
        <v>686933</v>
      </c>
      <c r="D31" s="168"/>
      <c r="E31" s="10">
        <f>SUM(E21:E25)</f>
        <v>698817.25</v>
      </c>
      <c r="F31" s="10">
        <f>SUM(F21:F25)</f>
        <v>736813.25</v>
      </c>
      <c r="G31" s="168">
        <f t="shared" ref="G31" si="17">G26+G30</f>
        <v>855013.58</v>
      </c>
      <c r="H31" s="168">
        <v>656784</v>
      </c>
      <c r="I31" s="168">
        <f t="shared" ref="I31:J31" si="18">SUM(I21:I25)</f>
        <v>400093.33333333331</v>
      </c>
      <c r="J31" s="168">
        <f t="shared" si="18"/>
        <v>478288.33333333331</v>
      </c>
      <c r="K31" s="168">
        <f t="shared" ref="K31" si="19">SUM(K21:K25)</f>
        <v>478288.33333333331</v>
      </c>
      <c r="L31" s="168">
        <f t="shared" ref="L31:M31" si="20">SUM(L21:L25)</f>
        <v>521971.66666666669</v>
      </c>
      <c r="M31" s="168">
        <f t="shared" si="20"/>
        <v>546968.33333333337</v>
      </c>
      <c r="N31" s="168">
        <f t="shared" ref="N31:O31" si="21">SUM(N21:N25)</f>
        <v>552028.33333333337</v>
      </c>
      <c r="O31" s="168">
        <f t="shared" si="21"/>
        <v>590277.5</v>
      </c>
      <c r="P31" s="295">
        <f t="shared" ref="P31:Q31" si="22">SUM(P21:P25)</f>
        <v>604405.83333333337</v>
      </c>
      <c r="Q31" s="168">
        <f t="shared" si="22"/>
        <v>668619.33333333337</v>
      </c>
      <c r="R31" s="168">
        <f t="shared" ref="R31:S31" si="23">SUM(R21:R25)</f>
        <v>664458.33333333337</v>
      </c>
      <c r="S31" s="168">
        <f t="shared" si="23"/>
        <v>675873.33333333337</v>
      </c>
      <c r="T31" s="168">
        <f t="shared" ref="T31:U31" si="24">SUM(T21:T25)</f>
        <v>701097.5</v>
      </c>
      <c r="U31" s="168">
        <f t="shared" si="24"/>
        <v>714422.5</v>
      </c>
      <c r="V31" s="168">
        <f t="shared" ref="V31:W31" si="25">SUM(V21:V25)</f>
        <v>727197.5</v>
      </c>
      <c r="W31" s="168">
        <f t="shared" si="25"/>
        <v>736129.16666666674</v>
      </c>
      <c r="X31" s="168">
        <f t="shared" ref="X31:Y31" si="26">SUM(X21:X25)</f>
        <v>745073.33333333337</v>
      </c>
      <c r="Y31" s="168">
        <f t="shared" si="26"/>
        <v>759329</v>
      </c>
      <c r="Z31" s="168">
        <f t="shared" ref="Z31:AA31" si="27">SUM(Z21:Z25)</f>
        <v>776048.16666666674</v>
      </c>
      <c r="AA31" s="168">
        <f t="shared" si="27"/>
        <v>781488.16666666674</v>
      </c>
      <c r="AB31" s="168">
        <f t="shared" ref="AB31:AC31" si="28">SUM(AB21:AB25)</f>
        <v>781907</v>
      </c>
      <c r="AC31" s="168">
        <f t="shared" si="28"/>
        <v>800118</v>
      </c>
      <c r="AD31" s="168">
        <f t="shared" ref="AD31:AE31" si="29">SUM(AD21:AD25)</f>
        <v>804155.5</v>
      </c>
      <c r="AE31" s="168">
        <f t="shared" si="29"/>
        <v>804155.5</v>
      </c>
      <c r="AF31" s="272"/>
      <c r="AG31" s="272"/>
      <c r="AH31" s="255"/>
    </row>
    <row r="32" spans="1:38" x14ac:dyDescent="0.25">
      <c r="A32" s="6"/>
      <c r="B32" s="65"/>
      <c r="C32" s="98"/>
      <c r="D32" s="98"/>
      <c r="E32" s="98"/>
      <c r="F32" s="4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</row>
    <row r="33" spans="1:34" x14ac:dyDescent="0.25">
      <c r="A33" s="1" t="s">
        <v>14</v>
      </c>
      <c r="B33" s="2"/>
      <c r="C33" s="2"/>
      <c r="D33" s="165"/>
      <c r="E33" s="165"/>
      <c r="F33" s="2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56"/>
      <c r="AG33" s="156"/>
    </row>
    <row r="34" spans="1:34" x14ac:dyDescent="0.25">
      <c r="A34" s="3" t="s">
        <v>594</v>
      </c>
      <c r="B34" s="4">
        <v>0</v>
      </c>
      <c r="C34" s="4">
        <v>82</v>
      </c>
      <c r="D34" s="169">
        <v>81</v>
      </c>
      <c r="E34" s="169">
        <v>342</v>
      </c>
      <c r="F34" s="4"/>
      <c r="G34" s="169"/>
      <c r="H34" s="169">
        <f>38+2+4+6+1</f>
        <v>51</v>
      </c>
      <c r="I34" s="169"/>
      <c r="J34" s="169"/>
      <c r="K34" s="169"/>
      <c r="L34" s="169"/>
      <c r="M34" s="169"/>
      <c r="N34" s="169"/>
      <c r="O34" s="169">
        <v>7</v>
      </c>
      <c r="P34" s="169">
        <v>7</v>
      </c>
      <c r="Q34" s="169">
        <v>18</v>
      </c>
      <c r="R34" s="169">
        <v>23</v>
      </c>
      <c r="S34" s="169">
        <v>23</v>
      </c>
      <c r="T34" s="169">
        <v>23</v>
      </c>
      <c r="U34" s="169">
        <v>23</v>
      </c>
      <c r="V34" s="169">
        <v>46</v>
      </c>
      <c r="W34" s="169">
        <v>46</v>
      </c>
      <c r="X34" s="169">
        <v>46</v>
      </c>
      <c r="Y34" s="169">
        <f>21+25</f>
        <v>46</v>
      </c>
      <c r="Z34" s="169">
        <f>21+25</f>
        <v>46</v>
      </c>
      <c r="AA34" s="169">
        <f>21+25</f>
        <v>46</v>
      </c>
      <c r="AB34" s="169">
        <f>21+25</f>
        <v>46</v>
      </c>
      <c r="AC34" s="169">
        <f>20+25</f>
        <v>45</v>
      </c>
      <c r="AD34" s="169">
        <f>20+25</f>
        <v>45</v>
      </c>
      <c r="AE34" s="169">
        <f>20+25</f>
        <v>45</v>
      </c>
    </row>
    <row r="35" spans="1:34" x14ac:dyDescent="0.25">
      <c r="A35" s="3" t="s">
        <v>615</v>
      </c>
      <c r="B35" s="4">
        <v>0</v>
      </c>
      <c r="C35" s="4">
        <v>78</v>
      </c>
      <c r="D35" s="169">
        <v>94</v>
      </c>
      <c r="E35" s="169"/>
      <c r="F35" s="4"/>
      <c r="G35" s="169"/>
      <c r="H35" s="169">
        <f>45+1+33</f>
        <v>79</v>
      </c>
      <c r="I35" s="169"/>
      <c r="J35" s="169"/>
      <c r="K35" s="169"/>
      <c r="L35" s="169"/>
      <c r="M35" s="169"/>
      <c r="N35" s="169"/>
      <c r="O35" s="169"/>
      <c r="P35" s="169"/>
      <c r="Q35" s="169">
        <f>11+4</f>
        <v>15</v>
      </c>
      <c r="R35" s="169">
        <v>18</v>
      </c>
      <c r="S35" s="169">
        <v>18</v>
      </c>
      <c r="T35" s="169">
        <v>18</v>
      </c>
      <c r="U35" s="169">
        <v>18</v>
      </c>
      <c r="V35" s="169">
        <f>6+14</f>
        <v>20</v>
      </c>
      <c r="W35" s="169">
        <f>9+15</f>
        <v>24</v>
      </c>
      <c r="X35" s="169">
        <f>9+19</f>
        <v>28</v>
      </c>
      <c r="Y35" s="169">
        <f>25+23</f>
        <v>48</v>
      </c>
      <c r="Z35" s="169">
        <f>27+27</f>
        <v>54</v>
      </c>
      <c r="AA35" s="169">
        <f>27+27</f>
        <v>54</v>
      </c>
      <c r="AB35" s="169">
        <f>27+27</f>
        <v>54</v>
      </c>
      <c r="AC35" s="169">
        <f>2+42+55</f>
        <v>99</v>
      </c>
      <c r="AD35" s="169">
        <f>2+64+56</f>
        <v>122</v>
      </c>
      <c r="AE35" s="169">
        <f>2+64+56</f>
        <v>122</v>
      </c>
    </row>
    <row r="36" spans="1:34" x14ac:dyDescent="0.25">
      <c r="A36" s="6" t="s">
        <v>616</v>
      </c>
      <c r="B36" s="7"/>
      <c r="C36" s="7"/>
      <c r="D36" s="7"/>
      <c r="E36" s="7"/>
      <c r="F36" s="4"/>
      <c r="G36" s="169"/>
      <c r="H36" s="169">
        <f>26+50+22+1</f>
        <v>99</v>
      </c>
      <c r="I36" s="169"/>
      <c r="J36" s="169"/>
      <c r="K36" s="169"/>
      <c r="L36" s="169"/>
      <c r="M36" s="169"/>
      <c r="N36" s="169"/>
      <c r="O36" s="169"/>
      <c r="P36" s="169"/>
      <c r="Q36" s="169">
        <v>4</v>
      </c>
      <c r="R36" s="169">
        <v>4</v>
      </c>
      <c r="S36" s="169">
        <v>4</v>
      </c>
      <c r="T36" s="169">
        <v>5</v>
      </c>
      <c r="U36" s="169">
        <v>5</v>
      </c>
      <c r="V36" s="169">
        <v>8</v>
      </c>
      <c r="W36" s="169">
        <v>9</v>
      </c>
      <c r="X36" s="169">
        <v>12</v>
      </c>
      <c r="Y36" s="169">
        <f>2+17+16</f>
        <v>35</v>
      </c>
      <c r="Z36" s="169">
        <f>2+20+16</f>
        <v>38</v>
      </c>
      <c r="AA36" s="169">
        <f>2+20+16</f>
        <v>38</v>
      </c>
      <c r="AB36" s="169">
        <f>2+20+16</f>
        <v>38</v>
      </c>
      <c r="AC36" s="169">
        <f>32+4+2</f>
        <v>38</v>
      </c>
      <c r="AD36" s="169">
        <f>9+2+36</f>
        <v>47</v>
      </c>
      <c r="AE36" s="169">
        <f>9+2+36</f>
        <v>47</v>
      </c>
    </row>
    <row r="37" spans="1:34" x14ac:dyDescent="0.25">
      <c r="A37" s="11" t="s">
        <v>642</v>
      </c>
      <c r="B37" s="7"/>
      <c r="C37" s="7"/>
      <c r="D37" s="7"/>
      <c r="E37" s="7"/>
      <c r="F37" s="14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69"/>
      <c r="S37" s="169"/>
      <c r="T37" s="169"/>
      <c r="U37" s="169">
        <v>1</v>
      </c>
      <c r="V37" s="169">
        <v>1</v>
      </c>
      <c r="W37" s="169">
        <v>1</v>
      </c>
      <c r="X37" s="169">
        <v>1</v>
      </c>
      <c r="Y37" s="169">
        <v>1</v>
      </c>
      <c r="Z37" s="169">
        <v>1</v>
      </c>
      <c r="AA37" s="169">
        <v>1</v>
      </c>
      <c r="AB37" s="169">
        <v>1</v>
      </c>
      <c r="AC37" s="169">
        <v>1</v>
      </c>
      <c r="AD37" s="169">
        <v>3</v>
      </c>
      <c r="AE37" s="169">
        <v>3</v>
      </c>
    </row>
    <row r="38" spans="1:34" x14ac:dyDescent="0.25">
      <c r="A38" s="11" t="s">
        <v>668</v>
      </c>
      <c r="B38" s="7"/>
      <c r="C38" s="7"/>
      <c r="D38" s="7"/>
      <c r="E38" s="7"/>
      <c r="F38" s="14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>
        <v>11</v>
      </c>
      <c r="AE38" s="169">
        <v>11</v>
      </c>
    </row>
    <row r="39" spans="1:34" x14ac:dyDescent="0.25">
      <c r="A39" s="11" t="s">
        <v>669</v>
      </c>
      <c r="B39" s="7"/>
      <c r="C39" s="7"/>
      <c r="D39" s="7"/>
      <c r="E39" s="7"/>
      <c r="F39" s="14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>
        <v>18</v>
      </c>
      <c r="AE39" s="169">
        <v>18</v>
      </c>
    </row>
    <row r="40" spans="1:34" x14ac:dyDescent="0.25">
      <c r="A40" s="12" t="s">
        <v>21</v>
      </c>
      <c r="B40" s="2"/>
      <c r="C40" s="2"/>
      <c r="D40" s="165"/>
      <c r="E40" s="165"/>
      <c r="F40" s="13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56"/>
      <c r="AG40" s="156"/>
    </row>
    <row r="41" spans="1:34" x14ac:dyDescent="0.25">
      <c r="A41" s="3" t="s">
        <v>22</v>
      </c>
      <c r="B41" s="4"/>
      <c r="C41" s="4">
        <v>85</v>
      </c>
      <c r="D41" s="169">
        <v>30</v>
      </c>
      <c r="E41" s="169">
        <v>76</v>
      </c>
      <c r="F41" s="4">
        <f>57+6</f>
        <v>63</v>
      </c>
      <c r="G41" s="169">
        <v>49</v>
      </c>
      <c r="H41" s="193">
        <v>79</v>
      </c>
      <c r="I41" s="193">
        <v>18</v>
      </c>
      <c r="J41" s="193">
        <v>18</v>
      </c>
      <c r="K41" s="193">
        <v>18</v>
      </c>
      <c r="L41" s="193">
        <v>18</v>
      </c>
      <c r="M41" s="193"/>
      <c r="N41" s="193"/>
      <c r="O41" s="193">
        <f>24+5+1</f>
        <v>30</v>
      </c>
      <c r="P41" s="193">
        <f>24+5+1</f>
        <v>30</v>
      </c>
      <c r="Q41" s="193">
        <v>26</v>
      </c>
      <c r="R41" s="169">
        <v>27</v>
      </c>
      <c r="S41" s="169">
        <v>27</v>
      </c>
      <c r="T41" s="169">
        <v>27</v>
      </c>
      <c r="U41" s="169">
        <v>27</v>
      </c>
      <c r="V41" s="169">
        <v>51</v>
      </c>
      <c r="W41" s="169">
        <v>51</v>
      </c>
      <c r="X41" s="169">
        <v>51</v>
      </c>
      <c r="Y41" s="169">
        <v>51</v>
      </c>
      <c r="Z41" s="169">
        <v>51</v>
      </c>
      <c r="AA41" s="169">
        <v>51</v>
      </c>
      <c r="AB41" s="169">
        <v>51</v>
      </c>
      <c r="AC41" s="169">
        <v>74</v>
      </c>
      <c r="AD41" s="169">
        <v>74</v>
      </c>
      <c r="AE41" s="169">
        <v>74</v>
      </c>
    </row>
    <row r="42" spans="1:34" x14ac:dyDescent="0.25">
      <c r="A42" s="3" t="s">
        <v>308</v>
      </c>
      <c r="B42" s="4"/>
      <c r="C42" s="4">
        <v>388</v>
      </c>
      <c r="D42" s="169">
        <v>196</v>
      </c>
      <c r="E42" s="169">
        <v>370</v>
      </c>
      <c r="F42" s="4">
        <f>245+159</f>
        <v>404</v>
      </c>
      <c r="G42" s="169">
        <v>274</v>
      </c>
      <c r="H42" s="193">
        <v>477</v>
      </c>
      <c r="I42" s="193">
        <v>149</v>
      </c>
      <c r="J42" s="193">
        <v>149</v>
      </c>
      <c r="K42" s="193">
        <v>149</v>
      </c>
      <c r="L42" s="193">
        <v>149</v>
      </c>
      <c r="M42" s="193"/>
      <c r="N42" s="193"/>
      <c r="O42" s="193">
        <f>159+3+1</f>
        <v>163</v>
      </c>
      <c r="P42" s="193">
        <f>159+3+1</f>
        <v>163</v>
      </c>
      <c r="Q42" s="193">
        <v>190</v>
      </c>
      <c r="R42" s="169">
        <v>197</v>
      </c>
      <c r="S42" s="169">
        <v>197</v>
      </c>
      <c r="T42" s="169">
        <v>197</v>
      </c>
      <c r="U42" s="169">
        <v>197</v>
      </c>
      <c r="V42" s="169">
        <v>282</v>
      </c>
      <c r="W42" s="169">
        <v>282</v>
      </c>
      <c r="X42" s="169">
        <v>282</v>
      </c>
      <c r="Y42" s="169">
        <v>282</v>
      </c>
      <c r="Z42" s="169">
        <v>282</v>
      </c>
      <c r="AA42" s="169">
        <v>282</v>
      </c>
      <c r="AB42" s="169">
        <v>282</v>
      </c>
      <c r="AC42" s="266">
        <v>519</v>
      </c>
      <c r="AD42" s="266">
        <v>519</v>
      </c>
      <c r="AE42" s="266">
        <v>519</v>
      </c>
      <c r="AF42" s="249"/>
      <c r="AG42" s="249"/>
    </row>
    <row r="43" spans="1:34" x14ac:dyDescent="0.25">
      <c r="A43" s="3" t="s">
        <v>23</v>
      </c>
      <c r="B43" s="4"/>
      <c r="C43" s="4">
        <v>46</v>
      </c>
      <c r="D43" s="169">
        <v>15</v>
      </c>
      <c r="E43" s="169">
        <v>29</v>
      </c>
      <c r="F43" s="14">
        <f>15+13</f>
        <v>28</v>
      </c>
      <c r="G43" s="193">
        <v>31</v>
      </c>
      <c r="H43" s="193">
        <v>43</v>
      </c>
      <c r="I43" s="193">
        <v>10</v>
      </c>
      <c r="J43" s="193">
        <v>10</v>
      </c>
      <c r="K43" s="193">
        <v>10</v>
      </c>
      <c r="L43" s="193">
        <v>10</v>
      </c>
      <c r="M43" s="193"/>
      <c r="N43" s="193"/>
      <c r="O43" s="193">
        <f>2+1</f>
        <v>3</v>
      </c>
      <c r="P43" s="193">
        <f>2+1</f>
        <v>3</v>
      </c>
      <c r="Q43" s="193">
        <v>6</v>
      </c>
      <c r="R43" s="169">
        <v>6</v>
      </c>
      <c r="S43" s="169">
        <v>6</v>
      </c>
      <c r="T43" s="169">
        <v>6</v>
      </c>
      <c r="U43" s="169">
        <v>6</v>
      </c>
      <c r="V43" s="169">
        <v>16</v>
      </c>
      <c r="W43" s="169">
        <v>16</v>
      </c>
      <c r="X43" s="169">
        <v>16</v>
      </c>
      <c r="Y43" s="169">
        <v>16</v>
      </c>
      <c r="Z43" s="169">
        <v>16</v>
      </c>
      <c r="AA43" s="169">
        <v>16</v>
      </c>
      <c r="AB43" s="169">
        <v>16</v>
      </c>
      <c r="AC43" s="169">
        <v>33</v>
      </c>
      <c r="AD43" s="169">
        <v>33</v>
      </c>
      <c r="AE43" s="169">
        <v>33</v>
      </c>
    </row>
    <row r="44" spans="1:34" x14ac:dyDescent="0.25">
      <c r="A44" s="3" t="s">
        <v>219</v>
      </c>
      <c r="B44" s="4"/>
      <c r="C44" s="4"/>
      <c r="D44" s="169">
        <v>88</v>
      </c>
      <c r="E44" s="169">
        <v>224</v>
      </c>
      <c r="F44" s="204">
        <f>242+24</f>
        <v>266</v>
      </c>
      <c r="G44" s="226">
        <v>220</v>
      </c>
      <c r="H44" s="193">
        <v>236</v>
      </c>
      <c r="I44" s="193">
        <v>72</v>
      </c>
      <c r="J44" s="193">
        <v>72</v>
      </c>
      <c r="K44" s="193">
        <v>72</v>
      </c>
      <c r="L44" s="193">
        <v>72</v>
      </c>
      <c r="M44" s="193"/>
      <c r="N44" s="193"/>
      <c r="O44" s="193">
        <f>51+2+2+1</f>
        <v>56</v>
      </c>
      <c r="P44" s="193">
        <f>51+2+2+1</f>
        <v>56</v>
      </c>
      <c r="Q44" s="193">
        <v>74</v>
      </c>
      <c r="R44" s="169">
        <v>77</v>
      </c>
      <c r="S44" s="169">
        <v>77</v>
      </c>
      <c r="T44" s="169">
        <v>77</v>
      </c>
      <c r="U44" s="169">
        <v>77</v>
      </c>
      <c r="V44" s="169">
        <v>128</v>
      </c>
      <c r="W44" s="169">
        <v>128</v>
      </c>
      <c r="X44" s="169">
        <v>128</v>
      </c>
      <c r="Y44" s="169">
        <v>128</v>
      </c>
      <c r="Z44" s="169">
        <v>128</v>
      </c>
      <c r="AA44" s="169">
        <v>128</v>
      </c>
      <c r="AB44" s="169">
        <v>128</v>
      </c>
      <c r="AC44" s="169">
        <v>195</v>
      </c>
      <c r="AD44" s="169">
        <v>195</v>
      </c>
      <c r="AE44" s="169">
        <v>195</v>
      </c>
    </row>
    <row r="45" spans="1:34" x14ac:dyDescent="0.25">
      <c r="A45" s="3" t="s">
        <v>468</v>
      </c>
      <c r="B45" s="4"/>
      <c r="C45" s="4">
        <v>717</v>
      </c>
      <c r="D45" s="169"/>
      <c r="E45" s="169">
        <v>699</v>
      </c>
      <c r="F45" s="4"/>
      <c r="G45" s="169"/>
      <c r="H45" s="169"/>
      <c r="I45" s="193"/>
      <c r="J45" s="193"/>
      <c r="K45" s="193"/>
      <c r="L45" s="193"/>
      <c r="M45" s="193"/>
      <c r="N45" s="193"/>
      <c r="O45" s="193">
        <f>38+93</f>
        <v>131</v>
      </c>
      <c r="P45" s="193">
        <f>38+93</f>
        <v>131</v>
      </c>
      <c r="Q45" s="193">
        <f>51+123</f>
        <v>174</v>
      </c>
      <c r="R45" s="169">
        <f>52+127</f>
        <v>179</v>
      </c>
      <c r="S45" s="169">
        <f>52+127</f>
        <v>179</v>
      </c>
      <c r="T45" s="169">
        <f>52+127</f>
        <v>179</v>
      </c>
      <c r="U45" s="169">
        <f>52+127</f>
        <v>179</v>
      </c>
      <c r="V45" s="169">
        <f t="shared" ref="V45:AB45" si="30">62+173</f>
        <v>235</v>
      </c>
      <c r="W45" s="169">
        <f t="shared" si="30"/>
        <v>235</v>
      </c>
      <c r="X45" s="169">
        <f t="shared" si="30"/>
        <v>235</v>
      </c>
      <c r="Y45" s="169">
        <f t="shared" si="30"/>
        <v>235</v>
      </c>
      <c r="Z45" s="169">
        <f t="shared" si="30"/>
        <v>235</v>
      </c>
      <c r="AA45" s="169">
        <f t="shared" si="30"/>
        <v>235</v>
      </c>
      <c r="AB45" s="169">
        <f t="shared" si="30"/>
        <v>235</v>
      </c>
      <c r="AC45" s="169">
        <f>119+247</f>
        <v>366</v>
      </c>
      <c r="AD45" s="169">
        <f>119+247</f>
        <v>366</v>
      </c>
      <c r="AE45" s="169">
        <f>119+247</f>
        <v>366</v>
      </c>
      <c r="AH45" t="s">
        <v>588</v>
      </c>
    </row>
    <row r="46" spans="1:34" x14ac:dyDescent="0.25">
      <c r="A46" s="12" t="s">
        <v>24</v>
      </c>
      <c r="B46" s="2"/>
      <c r="C46" s="2"/>
      <c r="D46" s="165"/>
      <c r="E46" s="165"/>
      <c r="F46" s="13"/>
      <c r="G46" s="196"/>
      <c r="H46" s="196"/>
      <c r="I46" s="196"/>
      <c r="J46" s="196"/>
      <c r="K46" s="196"/>
      <c r="L46" s="196"/>
      <c r="M46" s="196"/>
      <c r="N46" s="196"/>
      <c r="O46" s="196">
        <f t="shared" ref="O46:T46" si="31">SUM(O41:O45)</f>
        <v>383</v>
      </c>
      <c r="P46" s="196">
        <f t="shared" si="31"/>
        <v>383</v>
      </c>
      <c r="Q46" s="196">
        <f t="shared" si="31"/>
        <v>470</v>
      </c>
      <c r="R46" s="165">
        <f t="shared" si="31"/>
        <v>486</v>
      </c>
      <c r="S46" s="165">
        <f t="shared" si="31"/>
        <v>486</v>
      </c>
      <c r="T46" s="165">
        <f t="shared" si="31"/>
        <v>486</v>
      </c>
      <c r="U46" s="165">
        <f t="shared" ref="U46:V46" si="32">SUM(U41:U45)</f>
        <v>486</v>
      </c>
      <c r="V46" s="165">
        <f t="shared" si="32"/>
        <v>712</v>
      </c>
      <c r="W46" s="165">
        <f t="shared" ref="W46:X46" si="33">SUM(W41:W45)</f>
        <v>712</v>
      </c>
      <c r="X46" s="165">
        <f t="shared" si="33"/>
        <v>712</v>
      </c>
      <c r="Y46" s="165">
        <f t="shared" ref="Y46:Z46" si="34">SUM(Y41:Y45)</f>
        <v>712</v>
      </c>
      <c r="Z46" s="165">
        <f t="shared" si="34"/>
        <v>712</v>
      </c>
      <c r="AA46" s="165">
        <f t="shared" ref="AA46:AB46" si="35">SUM(AA41:AA45)</f>
        <v>712</v>
      </c>
      <c r="AB46" s="165">
        <f t="shared" si="35"/>
        <v>712</v>
      </c>
      <c r="AC46" s="165">
        <f t="shared" ref="AC46:AD46" si="36">SUM(AC41:AC45)</f>
        <v>1187</v>
      </c>
      <c r="AD46" s="165">
        <f t="shared" si="36"/>
        <v>1187</v>
      </c>
      <c r="AE46" s="165">
        <f t="shared" ref="AE46" si="37">SUM(AE41:AE45)</f>
        <v>1187</v>
      </c>
      <c r="AF46" s="156"/>
      <c r="AG46" s="156"/>
    </row>
    <row r="47" spans="1:34" x14ac:dyDescent="0.25">
      <c r="A47" s="3" t="s">
        <v>408</v>
      </c>
      <c r="B47" s="4"/>
      <c r="C47" s="4">
        <v>232</v>
      </c>
      <c r="D47" s="169">
        <v>188</v>
      </c>
      <c r="E47" s="169">
        <v>259</v>
      </c>
      <c r="F47" s="4">
        <f>135+7+5+10+5+7+6+2+1+11+2+3+5+2</f>
        <v>201</v>
      </c>
      <c r="G47" s="169">
        <v>201</v>
      </c>
      <c r="H47" s="193">
        <f>74+3+13+47+5+1+6+3+17+2+2</f>
        <v>173</v>
      </c>
      <c r="I47" s="193">
        <f>49+3</f>
        <v>52</v>
      </c>
      <c r="J47" s="193">
        <f>49+3</f>
        <v>52</v>
      </c>
      <c r="K47" s="193">
        <f>49+3</f>
        <v>52</v>
      </c>
      <c r="L47" s="193">
        <f>49+3</f>
        <v>52</v>
      </c>
      <c r="M47" s="193"/>
      <c r="N47" s="193"/>
      <c r="O47" s="193"/>
      <c r="P47" s="193"/>
      <c r="Q47" s="193">
        <f>30+41+1+5+1</f>
        <v>78</v>
      </c>
      <c r="R47" s="169">
        <v>81</v>
      </c>
      <c r="S47" s="169">
        <v>81</v>
      </c>
      <c r="T47" s="169">
        <v>81</v>
      </c>
      <c r="U47" s="169">
        <v>81</v>
      </c>
      <c r="V47" s="169">
        <f t="shared" ref="V47:AB47" si="38">65+1+41+6+5+1+8+3</f>
        <v>130</v>
      </c>
      <c r="W47" s="169">
        <f t="shared" si="38"/>
        <v>130</v>
      </c>
      <c r="X47" s="169">
        <f t="shared" si="38"/>
        <v>130</v>
      </c>
      <c r="Y47" s="169">
        <f t="shared" si="38"/>
        <v>130</v>
      </c>
      <c r="Z47" s="169">
        <f t="shared" si="38"/>
        <v>130</v>
      </c>
      <c r="AA47" s="169">
        <f t="shared" si="38"/>
        <v>130</v>
      </c>
      <c r="AB47" s="169">
        <f t="shared" si="38"/>
        <v>130</v>
      </c>
      <c r="AC47" s="169">
        <f>73+19+40+11+7+8+1+1+2+4+3+1</f>
        <v>170</v>
      </c>
      <c r="AD47" s="169">
        <f>73+19+40+11+7+8+1+1+2+4+3+1</f>
        <v>170</v>
      </c>
      <c r="AE47" s="169">
        <f>73+19+40+11+7+8+1+1+2+4+3+1</f>
        <v>170</v>
      </c>
    </row>
    <row r="48" spans="1:34" x14ac:dyDescent="0.25">
      <c r="A48" s="3" t="s">
        <v>407</v>
      </c>
      <c r="B48" s="4"/>
      <c r="C48" s="4">
        <v>194</v>
      </c>
      <c r="D48" s="169">
        <v>165</v>
      </c>
      <c r="E48" s="169">
        <v>168</v>
      </c>
      <c r="F48" s="14">
        <f>24+16+1+50+26+10+8+1+4+3+1</f>
        <v>144</v>
      </c>
      <c r="G48" s="193">
        <v>45</v>
      </c>
      <c r="H48" s="193">
        <f>23+2+3+11+11+2+1+3</f>
        <v>56</v>
      </c>
      <c r="I48" s="193">
        <f t="shared" ref="I48:L48" si="39">11+1</f>
        <v>12</v>
      </c>
      <c r="J48" s="193">
        <f t="shared" si="39"/>
        <v>12</v>
      </c>
      <c r="K48" s="193">
        <f t="shared" si="39"/>
        <v>12</v>
      </c>
      <c r="L48" s="193">
        <f t="shared" si="39"/>
        <v>12</v>
      </c>
      <c r="M48" s="193"/>
      <c r="N48" s="193"/>
      <c r="O48" s="193"/>
      <c r="P48" s="193"/>
      <c r="Q48" s="193">
        <v>7</v>
      </c>
      <c r="R48" s="169">
        <v>8</v>
      </c>
      <c r="S48" s="169">
        <v>8</v>
      </c>
      <c r="T48" s="169">
        <v>8</v>
      </c>
      <c r="U48" s="169">
        <v>8</v>
      </c>
      <c r="V48" s="169">
        <f t="shared" ref="V48:AB48" si="40">9+2+13+2+4</f>
        <v>30</v>
      </c>
      <c r="W48" s="169">
        <f t="shared" si="40"/>
        <v>30</v>
      </c>
      <c r="X48" s="169">
        <f t="shared" si="40"/>
        <v>30</v>
      </c>
      <c r="Y48" s="169">
        <f t="shared" si="40"/>
        <v>30</v>
      </c>
      <c r="Z48" s="169">
        <f t="shared" si="40"/>
        <v>30</v>
      </c>
      <c r="AA48" s="169">
        <f t="shared" si="40"/>
        <v>30</v>
      </c>
      <c r="AB48" s="169">
        <f t="shared" si="40"/>
        <v>30</v>
      </c>
      <c r="AC48" s="169">
        <f>19+3+2+17+2+3+1+5+1+1</f>
        <v>54</v>
      </c>
      <c r="AD48" s="169">
        <f>19+3+2+17+2+3+1+5+1+1</f>
        <v>54</v>
      </c>
      <c r="AE48" s="169">
        <f>19+3+2+17+2+3+1+5+1+1</f>
        <v>54</v>
      </c>
    </row>
    <row r="49" spans="1:33" x14ac:dyDescent="0.25">
      <c r="A49" s="3" t="s">
        <v>589</v>
      </c>
      <c r="B49" s="4"/>
      <c r="C49" s="4">
        <v>277</v>
      </c>
      <c r="D49" s="169">
        <v>212</v>
      </c>
      <c r="E49" s="169">
        <v>313</v>
      </c>
      <c r="F49" s="4">
        <f>99+28+11+49+42+15+5+5+2+41+15+9+7+8+6+4+6+14+15+7+1</f>
        <v>389</v>
      </c>
      <c r="G49" s="169">
        <v>415</v>
      </c>
      <c r="H49" s="193">
        <f>12+102+19+14+243+32+16+73+4+30+2+18+2+31+2+4+10+7</f>
        <v>621</v>
      </c>
      <c r="I49" s="193">
        <v>230</v>
      </c>
      <c r="J49" s="193">
        <v>230</v>
      </c>
      <c r="K49" s="193">
        <v>230</v>
      </c>
      <c r="L49" s="193">
        <v>230</v>
      </c>
      <c r="M49" s="193"/>
      <c r="N49" s="193"/>
      <c r="O49" s="193"/>
      <c r="P49" s="193"/>
      <c r="Q49" s="193">
        <f>187+40+31+6+19+2+3+4+1</f>
        <v>293</v>
      </c>
      <c r="R49" s="169">
        <v>298</v>
      </c>
      <c r="S49" s="169">
        <v>298</v>
      </c>
      <c r="T49" s="169">
        <v>298</v>
      </c>
      <c r="U49" s="169">
        <v>298</v>
      </c>
      <c r="V49" s="169">
        <f t="shared" ref="V49:AB49" si="41">187+40+61+6+39+1+12+10+1+20+7</f>
        <v>384</v>
      </c>
      <c r="W49" s="169">
        <f t="shared" si="41"/>
        <v>384</v>
      </c>
      <c r="X49" s="169">
        <f t="shared" si="41"/>
        <v>384</v>
      </c>
      <c r="Y49" s="169">
        <f t="shared" si="41"/>
        <v>384</v>
      </c>
      <c r="Z49" s="169">
        <f t="shared" si="41"/>
        <v>384</v>
      </c>
      <c r="AA49" s="169">
        <f t="shared" si="41"/>
        <v>384</v>
      </c>
      <c r="AB49" s="169">
        <f t="shared" si="41"/>
        <v>384</v>
      </c>
      <c r="AC49" s="169">
        <f>54+186+83+20+6+50+26+21+11+16+9+13+24+8+1+11+8+7</f>
        <v>554</v>
      </c>
      <c r="AD49" s="169">
        <f>54+186+83+20+6+50+26+21+11+16+9+13+24+8+1+11+8+7</f>
        <v>554</v>
      </c>
      <c r="AE49" s="169">
        <f>54+186+83+20+6+50+26+21+11+16+9+13+24+8+1+11+8+7</f>
        <v>554</v>
      </c>
    </row>
    <row r="50" spans="1:33" x14ac:dyDescent="0.25">
      <c r="A50" s="3" t="s">
        <v>406</v>
      </c>
      <c r="B50" s="4"/>
      <c r="C50" s="4">
        <v>76</v>
      </c>
      <c r="D50" s="169">
        <v>59</v>
      </c>
      <c r="E50" s="169">
        <v>85</v>
      </c>
      <c r="F50" s="4">
        <f>24+5+1+13+13+1+3+4+4</f>
        <v>68</v>
      </c>
      <c r="G50" s="169">
        <v>59</v>
      </c>
      <c r="H50" s="193">
        <f>14+2+6+10+2+1+1+1+2+2</f>
        <v>41</v>
      </c>
      <c r="I50" s="193">
        <v>22</v>
      </c>
      <c r="J50" s="193">
        <v>22</v>
      </c>
      <c r="K50" s="193">
        <v>22</v>
      </c>
      <c r="L50" s="193">
        <v>22</v>
      </c>
      <c r="M50" s="193"/>
      <c r="N50" s="193"/>
      <c r="O50" s="193"/>
      <c r="P50" s="193"/>
      <c r="Q50" s="193">
        <f>9+16+1+1+1</f>
        <v>28</v>
      </c>
      <c r="R50" s="169">
        <v>30</v>
      </c>
      <c r="S50" s="169">
        <v>30</v>
      </c>
      <c r="T50" s="169">
        <v>30</v>
      </c>
      <c r="U50" s="169">
        <v>30</v>
      </c>
      <c r="V50" s="169">
        <f t="shared" ref="V50:AB50" si="42">18+16+6+2+2</f>
        <v>44</v>
      </c>
      <c r="W50" s="169">
        <f t="shared" si="42"/>
        <v>44</v>
      </c>
      <c r="X50" s="169">
        <f t="shared" si="42"/>
        <v>44</v>
      </c>
      <c r="Y50" s="169">
        <f t="shared" si="42"/>
        <v>44</v>
      </c>
      <c r="Z50" s="169">
        <f t="shared" si="42"/>
        <v>44</v>
      </c>
      <c r="AA50" s="169">
        <f t="shared" si="42"/>
        <v>44</v>
      </c>
      <c r="AB50" s="169">
        <f t="shared" si="42"/>
        <v>44</v>
      </c>
      <c r="AC50" s="169">
        <f>19+10+16+7+2+1+2+3+2+2+2</f>
        <v>66</v>
      </c>
      <c r="AD50" s="169">
        <f>19+10+16+7+2+1+2+3+2+2+2</f>
        <v>66</v>
      </c>
      <c r="AE50" s="169">
        <f>19+10+16+7+2+1+2+3+2+2+2</f>
        <v>66</v>
      </c>
    </row>
    <row r="51" spans="1:33" x14ac:dyDescent="0.25">
      <c r="A51" s="15" t="s">
        <v>597</v>
      </c>
      <c r="B51" s="7"/>
      <c r="C51" s="7"/>
      <c r="D51" s="7"/>
      <c r="E51" s="7"/>
      <c r="F51" s="4"/>
      <c r="G51" s="169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69"/>
      <c r="S51" s="169"/>
      <c r="T51" s="169"/>
      <c r="U51" s="169"/>
      <c r="V51" s="169">
        <v>2</v>
      </c>
      <c r="W51" s="169">
        <v>2</v>
      </c>
      <c r="X51" s="169">
        <v>2</v>
      </c>
      <c r="Y51" s="169">
        <v>2</v>
      </c>
      <c r="Z51" s="169">
        <v>2</v>
      </c>
      <c r="AA51" s="169">
        <v>2</v>
      </c>
      <c r="AB51" s="169">
        <v>2</v>
      </c>
      <c r="AC51" s="169">
        <v>2</v>
      </c>
      <c r="AD51" s="169">
        <v>2</v>
      </c>
      <c r="AE51" s="169">
        <v>2</v>
      </c>
    </row>
    <row r="52" spans="1:33" x14ac:dyDescent="0.25">
      <c r="A52" s="15" t="s">
        <v>590</v>
      </c>
      <c r="B52" s="7"/>
      <c r="C52" s="7"/>
      <c r="D52" s="7"/>
      <c r="E52" s="7"/>
      <c r="F52" s="4"/>
      <c r="G52" s="169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</row>
    <row r="53" spans="1:33" x14ac:dyDescent="0.25">
      <c r="A53" s="15" t="s">
        <v>553</v>
      </c>
      <c r="B53" s="7"/>
      <c r="C53" s="7"/>
      <c r="D53" s="7"/>
      <c r="E53" s="7"/>
      <c r="F53" s="4"/>
      <c r="G53" s="169">
        <v>65</v>
      </c>
      <c r="H53" s="193">
        <v>4</v>
      </c>
      <c r="I53" s="193"/>
      <c r="J53" s="193"/>
      <c r="K53" s="193"/>
      <c r="L53" s="193"/>
      <c r="M53" s="193"/>
      <c r="N53" s="193"/>
      <c r="O53" s="193"/>
      <c r="P53" s="193"/>
      <c r="Q53" s="193"/>
      <c r="R53" s="169"/>
      <c r="S53" s="169"/>
      <c r="T53" s="169"/>
      <c r="U53" s="169"/>
      <c r="V53" s="169">
        <f t="shared" ref="V53:AB53" si="43">3+6</f>
        <v>9</v>
      </c>
      <c r="W53" s="169">
        <f t="shared" si="43"/>
        <v>9</v>
      </c>
      <c r="X53" s="169">
        <f t="shared" si="43"/>
        <v>9</v>
      </c>
      <c r="Y53" s="169">
        <f t="shared" si="43"/>
        <v>9</v>
      </c>
      <c r="Z53" s="169">
        <f t="shared" si="43"/>
        <v>9</v>
      </c>
      <c r="AA53" s="169">
        <f t="shared" si="43"/>
        <v>9</v>
      </c>
      <c r="AB53" s="169">
        <f t="shared" si="43"/>
        <v>9</v>
      </c>
      <c r="AC53" s="169">
        <f>3+12</f>
        <v>15</v>
      </c>
      <c r="AD53" s="169">
        <f>3+12</f>
        <v>15</v>
      </c>
      <c r="AE53" s="169">
        <f>3+12</f>
        <v>15</v>
      </c>
    </row>
    <row r="54" spans="1:33" x14ac:dyDescent="0.25">
      <c r="A54" s="15" t="s">
        <v>194</v>
      </c>
      <c r="B54" s="7"/>
      <c r="C54" s="7">
        <v>385</v>
      </c>
      <c r="D54" s="7">
        <v>169</v>
      </c>
      <c r="E54" s="7">
        <v>369</v>
      </c>
      <c r="F54" s="14">
        <v>325</v>
      </c>
      <c r="G54" s="193"/>
      <c r="H54" s="193">
        <v>266</v>
      </c>
      <c r="I54" s="193"/>
      <c r="J54" s="193"/>
      <c r="K54" s="193"/>
      <c r="L54" s="193"/>
      <c r="M54" s="193"/>
      <c r="N54" s="193"/>
      <c r="O54" s="193"/>
      <c r="P54" s="193"/>
      <c r="Q54" s="193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</row>
    <row r="55" spans="1:33" x14ac:dyDescent="0.25">
      <c r="A55" s="12" t="s">
        <v>567</v>
      </c>
      <c r="B55" s="7"/>
      <c r="C55" s="7"/>
      <c r="D55" s="7"/>
      <c r="E55" s="7"/>
      <c r="V55" s="7">
        <f t="shared" ref="V55:AA55" si="44">SUM(V47:V54)</f>
        <v>599</v>
      </c>
      <c r="W55" s="7">
        <f t="shared" si="44"/>
        <v>599</v>
      </c>
      <c r="X55" s="7">
        <f t="shared" si="44"/>
        <v>599</v>
      </c>
      <c r="Y55" s="7">
        <f t="shared" si="44"/>
        <v>599</v>
      </c>
      <c r="Z55" s="7">
        <f t="shared" si="44"/>
        <v>599</v>
      </c>
      <c r="AA55" s="7">
        <f t="shared" si="44"/>
        <v>599</v>
      </c>
      <c r="AB55" s="7">
        <f t="shared" ref="AB55:AC55" si="45">SUM(AB47:AB54)</f>
        <v>599</v>
      </c>
      <c r="AC55" s="7">
        <f t="shared" si="45"/>
        <v>861</v>
      </c>
      <c r="AD55" s="7">
        <f t="shared" ref="AD55:AE55" si="46">SUM(AD47:AD54)</f>
        <v>861</v>
      </c>
      <c r="AE55" s="7">
        <f t="shared" si="46"/>
        <v>861</v>
      </c>
    </row>
    <row r="56" spans="1:33" x14ac:dyDescent="0.25">
      <c r="A56" s="11" t="s">
        <v>638</v>
      </c>
      <c r="B56" s="7"/>
      <c r="C56" s="7"/>
      <c r="D56" s="7"/>
      <c r="E56" s="7"/>
      <c r="G56" s="7">
        <v>380</v>
      </c>
      <c r="H56">
        <v>445</v>
      </c>
      <c r="I56">
        <v>117</v>
      </c>
      <c r="J56">
        <v>117</v>
      </c>
      <c r="K56">
        <v>117</v>
      </c>
      <c r="L56">
        <v>117</v>
      </c>
      <c r="O56">
        <f>201+11</f>
        <v>212</v>
      </c>
      <c r="P56">
        <f>201+11</f>
        <v>212</v>
      </c>
      <c r="Q56">
        <f>269+14</f>
        <v>283</v>
      </c>
      <c r="R56" s="7">
        <f>277+15</f>
        <v>292</v>
      </c>
      <c r="S56" s="7">
        <v>306</v>
      </c>
      <c r="T56" s="7">
        <v>306</v>
      </c>
      <c r="U56" s="7">
        <v>306</v>
      </c>
      <c r="V56" s="7">
        <f t="shared" ref="V56:AB56" si="47">394+19</f>
        <v>413</v>
      </c>
      <c r="W56" s="7">
        <f t="shared" si="47"/>
        <v>413</v>
      </c>
      <c r="X56" s="7">
        <f t="shared" si="47"/>
        <v>413</v>
      </c>
      <c r="Y56" s="7">
        <f t="shared" si="47"/>
        <v>413</v>
      </c>
      <c r="Z56" s="7">
        <f t="shared" si="47"/>
        <v>413</v>
      </c>
      <c r="AA56" s="7">
        <f t="shared" si="47"/>
        <v>413</v>
      </c>
      <c r="AB56" s="7">
        <f t="shared" si="47"/>
        <v>413</v>
      </c>
      <c r="AC56" s="7">
        <f>671+50</f>
        <v>721</v>
      </c>
      <c r="AD56" s="7">
        <f>671+50</f>
        <v>721</v>
      </c>
      <c r="AE56" s="7">
        <f>671+50</f>
        <v>721</v>
      </c>
    </row>
    <row r="57" spans="1:33" x14ac:dyDescent="0.25">
      <c r="A57" s="11" t="s">
        <v>639</v>
      </c>
      <c r="B57" s="7"/>
      <c r="C57" s="7"/>
      <c r="D57" s="7"/>
      <c r="E57" s="7"/>
      <c r="G57" s="7">
        <v>336</v>
      </c>
      <c r="H57" s="62">
        <v>362</v>
      </c>
      <c r="I57">
        <v>137</v>
      </c>
      <c r="J57">
        <v>137</v>
      </c>
      <c r="K57">
        <v>137</v>
      </c>
      <c r="L57">
        <v>137</v>
      </c>
      <c r="O57" s="62">
        <v>110</v>
      </c>
      <c r="P57" s="62">
        <v>110</v>
      </c>
      <c r="Q57" s="62">
        <v>145</v>
      </c>
      <c r="R57" s="249">
        <v>155</v>
      </c>
      <c r="S57" s="249">
        <v>182</v>
      </c>
      <c r="T57" s="249">
        <v>182</v>
      </c>
      <c r="U57" s="249">
        <v>182</v>
      </c>
      <c r="V57" s="249">
        <v>262</v>
      </c>
      <c r="W57" s="249">
        <v>262</v>
      </c>
      <c r="X57" s="249">
        <v>262</v>
      </c>
      <c r="Y57" s="249">
        <v>262</v>
      </c>
      <c r="Z57" s="249">
        <v>262</v>
      </c>
      <c r="AA57" s="249">
        <v>262</v>
      </c>
      <c r="AB57" s="249">
        <v>262</v>
      </c>
      <c r="AC57" s="249">
        <v>530</v>
      </c>
      <c r="AD57" s="249">
        <v>530</v>
      </c>
      <c r="AE57" s="249">
        <v>530</v>
      </c>
      <c r="AF57" s="249"/>
      <c r="AG57" s="249"/>
    </row>
    <row r="58" spans="1:33" x14ac:dyDescent="0.25">
      <c r="A58" s="11" t="s">
        <v>570</v>
      </c>
      <c r="B58" s="7"/>
      <c r="C58" s="7"/>
      <c r="D58" s="7"/>
      <c r="E58" s="7"/>
      <c r="G58" s="7">
        <v>840</v>
      </c>
      <c r="H58" s="7"/>
      <c r="Q58">
        <v>121</v>
      </c>
      <c r="R58" s="7">
        <v>125</v>
      </c>
      <c r="S58" s="7">
        <v>126</v>
      </c>
      <c r="T58" s="7">
        <v>126</v>
      </c>
      <c r="U58" s="7">
        <v>126</v>
      </c>
      <c r="V58" s="7">
        <v>171</v>
      </c>
      <c r="W58" s="7">
        <v>171</v>
      </c>
      <c r="X58" s="7">
        <v>171</v>
      </c>
      <c r="Y58" s="7">
        <v>171</v>
      </c>
      <c r="Z58" s="7">
        <v>171</v>
      </c>
      <c r="AA58" s="7">
        <v>171</v>
      </c>
      <c r="AB58" s="7">
        <v>171</v>
      </c>
      <c r="AC58" s="7">
        <v>246</v>
      </c>
      <c r="AD58" s="7">
        <v>246</v>
      </c>
      <c r="AE58" s="7">
        <v>246</v>
      </c>
    </row>
    <row r="59" spans="1:33" x14ac:dyDescent="0.25">
      <c r="A59" s="11"/>
      <c r="B59" s="7"/>
      <c r="C59" s="7"/>
      <c r="D59" s="7"/>
      <c r="E59" s="7"/>
      <c r="F59" s="174"/>
      <c r="G59" s="174"/>
      <c r="H59" s="174"/>
    </row>
    <row r="60" spans="1:33" x14ac:dyDescent="0.25">
      <c r="A60" s="173" t="s">
        <v>418</v>
      </c>
      <c r="B60" s="2"/>
      <c r="C60" s="2"/>
      <c r="D60" s="2"/>
      <c r="E60" s="2"/>
      <c r="F60" s="2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56"/>
      <c r="AG60" s="156"/>
    </row>
    <row r="61" spans="1:33" x14ac:dyDescent="0.25">
      <c r="B61" s="4"/>
      <c r="F61" s="14"/>
    </row>
    <row r="62" spans="1:33" x14ac:dyDescent="0.25">
      <c r="A62" t="s">
        <v>419</v>
      </c>
      <c r="B62" s="4"/>
      <c r="F62" s="14"/>
    </row>
    <row r="63" spans="1:33" x14ac:dyDescent="0.25">
      <c r="A63" t="s">
        <v>424</v>
      </c>
      <c r="B63" s="14"/>
      <c r="D63">
        <v>53</v>
      </c>
      <c r="E63">
        <v>64</v>
      </c>
      <c r="G63">
        <v>74</v>
      </c>
      <c r="H63">
        <v>61</v>
      </c>
      <c r="I63">
        <v>19</v>
      </c>
      <c r="J63">
        <v>19</v>
      </c>
      <c r="K63">
        <v>19</v>
      </c>
      <c r="L63">
        <v>19</v>
      </c>
      <c r="O63">
        <v>14</v>
      </c>
      <c r="P63">
        <v>14</v>
      </c>
      <c r="Q63">
        <v>24</v>
      </c>
      <c r="R63" s="7">
        <v>25</v>
      </c>
      <c r="S63" s="7">
        <v>26</v>
      </c>
      <c r="T63" s="7">
        <v>26</v>
      </c>
      <c r="U63" s="7">
        <v>26</v>
      </c>
      <c r="V63" s="7">
        <v>31</v>
      </c>
      <c r="W63" s="7">
        <v>31</v>
      </c>
      <c r="X63" s="7">
        <v>31</v>
      </c>
      <c r="Y63" s="7">
        <v>31</v>
      </c>
      <c r="Z63" s="7">
        <v>31</v>
      </c>
      <c r="AA63" s="7">
        <v>31</v>
      </c>
      <c r="AB63" s="7">
        <v>31</v>
      </c>
      <c r="AC63" s="7">
        <v>71</v>
      </c>
      <c r="AD63" s="7">
        <v>71</v>
      </c>
      <c r="AE63" s="7">
        <v>71</v>
      </c>
    </row>
    <row r="64" spans="1:33" x14ac:dyDescent="0.25">
      <c r="A64" t="s">
        <v>425</v>
      </c>
      <c r="B64" s="14"/>
      <c r="D64">
        <v>35</v>
      </c>
      <c r="E64">
        <v>37</v>
      </c>
      <c r="G64">
        <v>65</v>
      </c>
      <c r="H64">
        <v>38</v>
      </c>
      <c r="I64">
        <v>14</v>
      </c>
      <c r="J64">
        <v>14</v>
      </c>
      <c r="K64">
        <v>14</v>
      </c>
      <c r="L64">
        <v>14</v>
      </c>
      <c r="O64">
        <v>10</v>
      </c>
      <c r="P64">
        <v>10</v>
      </c>
      <c r="Q64">
        <v>12</v>
      </c>
      <c r="R64" s="7">
        <v>12</v>
      </c>
      <c r="S64" s="7">
        <v>12</v>
      </c>
      <c r="T64" s="7">
        <v>12</v>
      </c>
      <c r="U64" s="7">
        <v>12</v>
      </c>
      <c r="V64" s="7">
        <v>23</v>
      </c>
      <c r="W64" s="7">
        <v>23</v>
      </c>
      <c r="X64" s="7">
        <v>23</v>
      </c>
      <c r="Y64" s="7">
        <v>23</v>
      </c>
      <c r="Z64" s="7">
        <v>23</v>
      </c>
      <c r="AA64" s="7">
        <v>23</v>
      </c>
      <c r="AB64" s="7">
        <v>23</v>
      </c>
      <c r="AC64" s="7">
        <v>5</v>
      </c>
      <c r="AD64" s="7">
        <v>5</v>
      </c>
      <c r="AE64" s="7">
        <v>5</v>
      </c>
    </row>
    <row r="65" spans="1:33" x14ac:dyDescent="0.25">
      <c r="A65" t="s">
        <v>426</v>
      </c>
      <c r="D65">
        <v>188</v>
      </c>
      <c r="E65">
        <v>299</v>
      </c>
      <c r="G65">
        <v>238</v>
      </c>
      <c r="H65">
        <v>122</v>
      </c>
      <c r="I65">
        <v>30</v>
      </c>
      <c r="J65">
        <v>30</v>
      </c>
      <c r="K65">
        <v>30</v>
      </c>
      <c r="L65">
        <v>30</v>
      </c>
      <c r="O65">
        <v>41</v>
      </c>
      <c r="P65">
        <v>41</v>
      </c>
      <c r="Q65">
        <v>54</v>
      </c>
      <c r="R65" s="7">
        <v>54</v>
      </c>
      <c r="S65" s="7">
        <v>62</v>
      </c>
      <c r="T65" s="7">
        <v>62</v>
      </c>
      <c r="U65" s="7">
        <v>62</v>
      </c>
      <c r="V65" s="7">
        <v>89</v>
      </c>
      <c r="W65" s="7">
        <v>89</v>
      </c>
      <c r="X65" s="7">
        <v>89</v>
      </c>
      <c r="Y65" s="7">
        <v>89</v>
      </c>
      <c r="Z65" s="7">
        <v>89</v>
      </c>
      <c r="AA65" s="7">
        <v>89</v>
      </c>
      <c r="AB65" s="7">
        <v>89</v>
      </c>
      <c r="AC65" s="7">
        <v>157</v>
      </c>
      <c r="AD65" s="7">
        <v>157</v>
      </c>
      <c r="AE65" s="7">
        <v>157</v>
      </c>
    </row>
    <row r="66" spans="1:33" x14ac:dyDescent="0.25">
      <c r="A66" t="s">
        <v>421</v>
      </c>
      <c r="B66" s="7"/>
      <c r="D66">
        <v>34</v>
      </c>
      <c r="E66">
        <v>38</v>
      </c>
      <c r="G66">
        <v>37</v>
      </c>
      <c r="H66">
        <v>25</v>
      </c>
      <c r="I66">
        <v>1</v>
      </c>
      <c r="J66">
        <v>1</v>
      </c>
      <c r="K66">
        <v>1</v>
      </c>
      <c r="L66">
        <v>1</v>
      </c>
      <c r="O66">
        <v>6</v>
      </c>
      <c r="P66">
        <v>6</v>
      </c>
      <c r="Q66">
        <v>6</v>
      </c>
      <c r="R66" s="7">
        <v>6</v>
      </c>
      <c r="S66" s="7">
        <v>9</v>
      </c>
      <c r="T66" s="7">
        <v>9</v>
      </c>
      <c r="U66" s="7">
        <v>9</v>
      </c>
      <c r="V66" s="7">
        <v>16</v>
      </c>
      <c r="W66" s="7">
        <v>16</v>
      </c>
      <c r="X66" s="7">
        <v>16</v>
      </c>
      <c r="Y66" s="7">
        <v>16</v>
      </c>
      <c r="Z66" s="7">
        <v>16</v>
      </c>
      <c r="AA66" s="7">
        <v>16</v>
      </c>
      <c r="AB66" s="7">
        <v>16</v>
      </c>
      <c r="AC66" s="7">
        <v>33</v>
      </c>
      <c r="AD66" s="7">
        <v>33</v>
      </c>
      <c r="AE66" s="7">
        <v>33</v>
      </c>
    </row>
    <row r="67" spans="1:33" x14ac:dyDescent="0.25">
      <c r="A67" t="s">
        <v>420</v>
      </c>
      <c r="B67" s="7"/>
      <c r="D67">
        <v>294</v>
      </c>
      <c r="E67">
        <v>305</v>
      </c>
      <c r="G67">
        <v>340</v>
      </c>
      <c r="H67">
        <v>236</v>
      </c>
      <c r="I67">
        <v>62</v>
      </c>
      <c r="J67">
        <v>62</v>
      </c>
      <c r="K67">
        <v>62</v>
      </c>
      <c r="L67">
        <v>62</v>
      </c>
      <c r="O67">
        <v>73</v>
      </c>
      <c r="P67">
        <v>73</v>
      </c>
      <c r="Q67">
        <v>93</v>
      </c>
      <c r="R67" s="7">
        <v>98</v>
      </c>
      <c r="S67" s="7">
        <v>110</v>
      </c>
      <c r="T67" s="7">
        <v>110</v>
      </c>
      <c r="U67" s="7">
        <v>110</v>
      </c>
      <c r="V67" s="7">
        <v>150</v>
      </c>
      <c r="W67" s="7">
        <v>150</v>
      </c>
      <c r="X67" s="7">
        <v>150</v>
      </c>
      <c r="Y67" s="7">
        <v>150</v>
      </c>
      <c r="Z67" s="7">
        <v>150</v>
      </c>
      <c r="AA67" s="7">
        <v>150</v>
      </c>
      <c r="AB67" s="7">
        <v>150</v>
      </c>
      <c r="AC67" s="7">
        <v>279</v>
      </c>
      <c r="AD67" s="7">
        <v>279</v>
      </c>
      <c r="AE67" s="7">
        <v>279</v>
      </c>
    </row>
    <row r="68" spans="1:33" x14ac:dyDescent="0.25">
      <c r="A68" t="s">
        <v>427</v>
      </c>
      <c r="D68">
        <v>216</v>
      </c>
      <c r="E68">
        <v>133</v>
      </c>
      <c r="G68">
        <v>151</v>
      </c>
      <c r="H68">
        <v>111</v>
      </c>
      <c r="I68">
        <v>33</v>
      </c>
      <c r="J68">
        <v>33</v>
      </c>
      <c r="K68">
        <v>33</v>
      </c>
      <c r="L68">
        <v>33</v>
      </c>
      <c r="O68">
        <v>29</v>
      </c>
      <c r="P68">
        <v>29</v>
      </c>
      <c r="Q68">
        <v>45</v>
      </c>
      <c r="R68" s="7">
        <v>48</v>
      </c>
      <c r="S68" s="7">
        <v>48</v>
      </c>
      <c r="T68" s="7">
        <v>48</v>
      </c>
      <c r="U68" s="7">
        <v>48</v>
      </c>
      <c r="V68" s="7">
        <v>63</v>
      </c>
      <c r="W68" s="7">
        <v>63</v>
      </c>
      <c r="X68" s="7">
        <v>63</v>
      </c>
      <c r="Y68" s="7">
        <v>63</v>
      </c>
      <c r="Z68" s="7">
        <v>63</v>
      </c>
      <c r="AA68" s="7">
        <v>63</v>
      </c>
      <c r="AB68" s="7">
        <v>63</v>
      </c>
      <c r="AC68" s="7">
        <v>127</v>
      </c>
      <c r="AD68" s="7">
        <v>127</v>
      </c>
      <c r="AE68" s="7">
        <v>127</v>
      </c>
    </row>
    <row r="69" spans="1:33" x14ac:dyDescent="0.25">
      <c r="A69" t="s">
        <v>428</v>
      </c>
      <c r="D69">
        <v>96</v>
      </c>
      <c r="E69">
        <v>113</v>
      </c>
      <c r="G69">
        <v>100</v>
      </c>
      <c r="H69">
        <v>110</v>
      </c>
      <c r="I69">
        <v>49</v>
      </c>
      <c r="J69">
        <v>49</v>
      </c>
      <c r="K69">
        <v>49</v>
      </c>
      <c r="L69">
        <v>49</v>
      </c>
      <c r="O69">
        <v>41</v>
      </c>
      <c r="P69">
        <v>41</v>
      </c>
      <c r="Q69">
        <v>53</v>
      </c>
      <c r="R69" s="7">
        <v>55</v>
      </c>
      <c r="S69" s="7">
        <v>55</v>
      </c>
      <c r="T69" s="7">
        <v>55</v>
      </c>
      <c r="U69" s="7">
        <v>55</v>
      </c>
      <c r="V69" s="7">
        <v>79</v>
      </c>
      <c r="W69" s="7">
        <v>79</v>
      </c>
      <c r="X69" s="7">
        <v>79</v>
      </c>
      <c r="Y69" s="7">
        <v>79</v>
      </c>
      <c r="Z69" s="7">
        <v>79</v>
      </c>
      <c r="AA69" s="7">
        <v>79</v>
      </c>
      <c r="AB69" s="7">
        <v>79</v>
      </c>
      <c r="AC69" s="7">
        <v>120</v>
      </c>
      <c r="AD69" s="7">
        <v>120</v>
      </c>
      <c r="AE69" s="7">
        <v>120</v>
      </c>
    </row>
    <row r="70" spans="1:33" x14ac:dyDescent="0.25">
      <c r="A70" t="s">
        <v>423</v>
      </c>
      <c r="D70">
        <v>83</v>
      </c>
      <c r="E70">
        <v>101</v>
      </c>
      <c r="G70">
        <v>119</v>
      </c>
      <c r="H70">
        <v>79</v>
      </c>
      <c r="I70">
        <v>18</v>
      </c>
      <c r="J70">
        <v>18</v>
      </c>
      <c r="K70">
        <v>18</v>
      </c>
      <c r="L70">
        <v>18</v>
      </c>
      <c r="O70">
        <v>18</v>
      </c>
      <c r="P70">
        <v>18</v>
      </c>
      <c r="Q70">
        <v>21</v>
      </c>
      <c r="R70" s="7">
        <v>24</v>
      </c>
      <c r="S70" s="7">
        <v>24</v>
      </c>
      <c r="T70" s="7">
        <v>24</v>
      </c>
      <c r="U70" s="7">
        <v>24</v>
      </c>
      <c r="V70" s="7">
        <v>49</v>
      </c>
      <c r="W70" s="7">
        <v>49</v>
      </c>
      <c r="X70" s="7">
        <v>49</v>
      </c>
      <c r="Y70" s="7">
        <v>49</v>
      </c>
      <c r="Z70" s="7">
        <v>49</v>
      </c>
      <c r="AA70" s="7">
        <v>49</v>
      </c>
      <c r="AB70" s="7">
        <v>49</v>
      </c>
      <c r="AC70" s="7">
        <v>88</v>
      </c>
      <c r="AD70" s="7">
        <v>88</v>
      </c>
      <c r="AE70" s="7">
        <v>88</v>
      </c>
    </row>
    <row r="71" spans="1:33" x14ac:dyDescent="0.25">
      <c r="A71" t="s">
        <v>422</v>
      </c>
      <c r="B71" s="7"/>
      <c r="D71">
        <v>156</v>
      </c>
      <c r="E71">
        <v>147</v>
      </c>
      <c r="G71">
        <v>163</v>
      </c>
      <c r="H71">
        <v>100</v>
      </c>
      <c r="I71">
        <v>24</v>
      </c>
      <c r="J71">
        <v>24</v>
      </c>
      <c r="K71">
        <v>24</v>
      </c>
      <c r="L71">
        <v>24</v>
      </c>
      <c r="O71">
        <v>24</v>
      </c>
      <c r="P71">
        <v>24</v>
      </c>
      <c r="Q71">
        <v>29</v>
      </c>
      <c r="R71" s="7">
        <v>32</v>
      </c>
      <c r="S71" s="7">
        <v>32</v>
      </c>
      <c r="T71" s="7">
        <v>32</v>
      </c>
      <c r="U71" s="7">
        <v>32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117</v>
      </c>
      <c r="AD71" s="7">
        <v>117</v>
      </c>
      <c r="AE71" s="7">
        <v>117</v>
      </c>
    </row>
    <row r="73" spans="1:33" x14ac:dyDescent="0.25">
      <c r="A73" t="s">
        <v>429</v>
      </c>
      <c r="D73">
        <v>82</v>
      </c>
      <c r="E73">
        <v>71</v>
      </c>
      <c r="G73">
        <v>58</v>
      </c>
      <c r="H73">
        <v>45</v>
      </c>
      <c r="I73">
        <v>8</v>
      </c>
      <c r="J73">
        <v>8</v>
      </c>
      <c r="K73">
        <v>8</v>
      </c>
      <c r="L73">
        <v>8</v>
      </c>
      <c r="O73">
        <v>13</v>
      </c>
      <c r="P73">
        <v>13</v>
      </c>
      <c r="Q73">
        <v>17</v>
      </c>
      <c r="R73" s="7">
        <v>17</v>
      </c>
      <c r="S73" s="7">
        <v>17</v>
      </c>
      <c r="T73" s="7">
        <v>17</v>
      </c>
      <c r="U73" s="7">
        <v>17</v>
      </c>
      <c r="V73" s="7">
        <v>18</v>
      </c>
      <c r="W73" s="7">
        <v>18</v>
      </c>
      <c r="X73" s="7">
        <v>18</v>
      </c>
      <c r="Y73" s="7">
        <v>18</v>
      </c>
      <c r="Z73" s="7">
        <v>18</v>
      </c>
      <c r="AA73" s="7">
        <v>18</v>
      </c>
      <c r="AB73" s="7">
        <v>18</v>
      </c>
      <c r="AC73" s="7">
        <v>41</v>
      </c>
      <c r="AD73" s="7">
        <v>41</v>
      </c>
      <c r="AE73" s="7">
        <v>41</v>
      </c>
    </row>
    <row r="74" spans="1:33" x14ac:dyDescent="0.25">
      <c r="A74" s="11" t="s">
        <v>430</v>
      </c>
      <c r="D74">
        <v>30</v>
      </c>
      <c r="E74">
        <v>57</v>
      </c>
      <c r="G74">
        <v>40</v>
      </c>
      <c r="H74">
        <v>24</v>
      </c>
      <c r="I74">
        <v>3</v>
      </c>
      <c r="J74">
        <v>3</v>
      </c>
      <c r="K74">
        <v>3</v>
      </c>
      <c r="L74">
        <v>3</v>
      </c>
      <c r="O74">
        <v>7</v>
      </c>
      <c r="P74">
        <v>7</v>
      </c>
      <c r="Q74">
        <v>12</v>
      </c>
      <c r="R74" s="7">
        <v>13</v>
      </c>
      <c r="S74" s="7">
        <v>13</v>
      </c>
      <c r="T74" s="7">
        <v>13</v>
      </c>
      <c r="U74" s="7">
        <v>13</v>
      </c>
      <c r="V74" s="7">
        <v>22</v>
      </c>
      <c r="W74" s="7">
        <v>22</v>
      </c>
      <c r="X74" s="7">
        <v>22</v>
      </c>
      <c r="Y74" s="7">
        <v>22</v>
      </c>
      <c r="Z74" s="7">
        <v>22</v>
      </c>
      <c r="AA74" s="7">
        <v>22</v>
      </c>
      <c r="AB74" s="7">
        <v>22</v>
      </c>
      <c r="AC74" s="7">
        <v>45</v>
      </c>
      <c r="AD74" s="7">
        <v>45</v>
      </c>
      <c r="AE74" s="7">
        <v>45</v>
      </c>
    </row>
    <row r="75" spans="1:33" x14ac:dyDescent="0.25">
      <c r="A75" s="11" t="s">
        <v>431</v>
      </c>
      <c r="D75">
        <v>14</v>
      </c>
      <c r="E75">
        <v>24</v>
      </c>
      <c r="G75">
        <v>33</v>
      </c>
      <c r="H75">
        <v>20</v>
      </c>
      <c r="I75">
        <v>6</v>
      </c>
      <c r="J75">
        <v>6</v>
      </c>
      <c r="K75">
        <v>6</v>
      </c>
      <c r="L75">
        <v>6</v>
      </c>
      <c r="O75">
        <v>7</v>
      </c>
      <c r="P75">
        <v>7</v>
      </c>
      <c r="Q75">
        <v>7</v>
      </c>
      <c r="R75" s="7">
        <v>8</v>
      </c>
      <c r="S75" s="7">
        <v>10</v>
      </c>
      <c r="T75" s="7">
        <v>10</v>
      </c>
      <c r="U75" s="7">
        <v>10</v>
      </c>
      <c r="V75" s="7">
        <v>9</v>
      </c>
      <c r="W75" s="7">
        <v>9</v>
      </c>
      <c r="X75" s="7">
        <v>9</v>
      </c>
      <c r="Y75" s="7">
        <v>9</v>
      </c>
      <c r="Z75" s="7">
        <v>9</v>
      </c>
      <c r="AA75" s="7">
        <v>9</v>
      </c>
      <c r="AB75" s="7">
        <v>9</v>
      </c>
      <c r="AC75" s="7">
        <v>17</v>
      </c>
      <c r="AD75" s="7">
        <v>17</v>
      </c>
      <c r="AE75" s="7">
        <v>17</v>
      </c>
    </row>
    <row r="76" spans="1:33" x14ac:dyDescent="0.25">
      <c r="A76" t="s">
        <v>549</v>
      </c>
      <c r="G76">
        <v>9</v>
      </c>
      <c r="H76">
        <v>14</v>
      </c>
      <c r="I76">
        <v>5</v>
      </c>
      <c r="J76">
        <v>5</v>
      </c>
      <c r="K76">
        <v>5</v>
      </c>
      <c r="L76">
        <v>5</v>
      </c>
      <c r="O76">
        <v>4</v>
      </c>
      <c r="P76">
        <v>4</v>
      </c>
      <c r="Q76">
        <v>5</v>
      </c>
      <c r="R76" s="7">
        <v>6</v>
      </c>
      <c r="S76" s="7">
        <v>6</v>
      </c>
      <c r="T76" s="7">
        <v>6</v>
      </c>
      <c r="U76" s="7">
        <v>6</v>
      </c>
      <c r="V76" s="7">
        <v>8</v>
      </c>
      <c r="W76" s="7">
        <v>8</v>
      </c>
      <c r="X76" s="7">
        <v>8</v>
      </c>
      <c r="Y76" s="7">
        <v>8</v>
      </c>
      <c r="Z76" s="7">
        <v>8</v>
      </c>
      <c r="AA76" s="7">
        <v>8</v>
      </c>
      <c r="AB76" s="7">
        <v>8</v>
      </c>
      <c r="AC76" s="7">
        <v>15</v>
      </c>
      <c r="AD76" s="7">
        <v>15</v>
      </c>
      <c r="AE76" s="7">
        <v>15</v>
      </c>
    </row>
    <row r="77" spans="1:33" x14ac:dyDescent="0.25">
      <c r="A77" t="s">
        <v>432</v>
      </c>
      <c r="E77">
        <v>105</v>
      </c>
      <c r="G77">
        <v>91</v>
      </c>
      <c r="H77" s="83">
        <v>66</v>
      </c>
      <c r="I77" s="83">
        <v>21</v>
      </c>
      <c r="J77" s="83">
        <v>21</v>
      </c>
      <c r="K77" s="83">
        <v>21</v>
      </c>
      <c r="L77" s="83">
        <v>21</v>
      </c>
      <c r="M77" s="83"/>
      <c r="N77" s="83"/>
      <c r="O77" s="83">
        <v>34</v>
      </c>
      <c r="P77" s="83">
        <v>34</v>
      </c>
      <c r="Q77" s="83">
        <v>44</v>
      </c>
      <c r="R77" s="250">
        <v>49</v>
      </c>
      <c r="S77" s="250">
        <v>49</v>
      </c>
      <c r="T77" s="250">
        <v>49</v>
      </c>
      <c r="U77" s="250">
        <v>49</v>
      </c>
      <c r="V77" s="250">
        <v>59</v>
      </c>
      <c r="W77" s="250">
        <v>59</v>
      </c>
      <c r="X77" s="250">
        <v>59</v>
      </c>
      <c r="Y77" s="250">
        <v>59</v>
      </c>
      <c r="Z77" s="250">
        <v>59</v>
      </c>
      <c r="AA77" s="250">
        <v>59</v>
      </c>
      <c r="AB77" s="250">
        <v>59</v>
      </c>
      <c r="AC77" s="250">
        <v>108</v>
      </c>
      <c r="AD77" s="250">
        <v>108</v>
      </c>
      <c r="AE77" s="250">
        <v>108</v>
      </c>
      <c r="AF77" s="250"/>
      <c r="AG77" s="250"/>
    </row>
    <row r="78" spans="1:33" x14ac:dyDescent="0.25">
      <c r="A78" s="6" t="s">
        <v>579</v>
      </c>
      <c r="H78">
        <v>92</v>
      </c>
      <c r="I78">
        <v>35</v>
      </c>
      <c r="J78">
        <v>35</v>
      </c>
      <c r="K78">
        <v>35</v>
      </c>
      <c r="L78">
        <v>35</v>
      </c>
      <c r="R78" s="7">
        <v>125</v>
      </c>
      <c r="S78" s="7">
        <v>125</v>
      </c>
      <c r="T78" s="7">
        <v>125</v>
      </c>
      <c r="U78" s="7">
        <v>125</v>
      </c>
      <c r="V78" s="7">
        <v>170</v>
      </c>
      <c r="W78" s="7">
        <v>170</v>
      </c>
      <c r="X78" s="7">
        <v>170</v>
      </c>
      <c r="Y78" s="7">
        <v>170</v>
      </c>
      <c r="Z78" s="7">
        <v>170</v>
      </c>
      <c r="AA78" s="7">
        <v>170</v>
      </c>
      <c r="AB78" s="7">
        <v>170</v>
      </c>
      <c r="AC78" s="7">
        <v>170</v>
      </c>
      <c r="AD78" s="7">
        <v>170</v>
      </c>
      <c r="AE78" s="7">
        <v>170</v>
      </c>
    </row>
    <row r="79" spans="1:33" x14ac:dyDescent="0.25">
      <c r="H79" s="122">
        <f t="shared" ref="H79" si="48">SUM(H63:H78)</f>
        <v>1143</v>
      </c>
      <c r="I79" s="122">
        <f t="shared" ref="I79:J79" si="49">SUM(I63:I78)</f>
        <v>328</v>
      </c>
      <c r="J79" s="122">
        <f t="shared" si="49"/>
        <v>328</v>
      </c>
      <c r="K79" s="122">
        <f t="shared" ref="K79" si="50">SUM(K63:K78)</f>
        <v>328</v>
      </c>
      <c r="L79" s="122">
        <f t="shared" ref="L79" si="51">SUM(L63:L78)</f>
        <v>328</v>
      </c>
      <c r="M79" s="122"/>
      <c r="N79" s="122"/>
      <c r="O79" s="242">
        <f t="shared" ref="O79:T79" si="52">SUM(O63:O78)</f>
        <v>321</v>
      </c>
      <c r="P79" s="242">
        <f t="shared" si="52"/>
        <v>321</v>
      </c>
      <c r="Q79" s="242">
        <f t="shared" si="52"/>
        <v>422</v>
      </c>
      <c r="R79" s="251">
        <f t="shared" si="52"/>
        <v>572</v>
      </c>
      <c r="S79" s="251">
        <f t="shared" si="52"/>
        <v>598</v>
      </c>
      <c r="T79" s="251">
        <f t="shared" si="52"/>
        <v>598</v>
      </c>
      <c r="U79" s="251">
        <f t="shared" ref="U79:V79" si="53">SUM(U63:U78)</f>
        <v>598</v>
      </c>
      <c r="V79" s="251">
        <f t="shared" si="53"/>
        <v>846</v>
      </c>
      <c r="W79" s="251">
        <f t="shared" ref="W79:X79" si="54">SUM(W63:W78)</f>
        <v>846</v>
      </c>
      <c r="X79" s="251">
        <f t="shared" si="54"/>
        <v>846</v>
      </c>
      <c r="Y79" s="251">
        <f t="shared" ref="Y79:Z79" si="55">SUM(Y63:Y78)</f>
        <v>846</v>
      </c>
      <c r="Z79" s="251">
        <f t="shared" si="55"/>
        <v>846</v>
      </c>
      <c r="AA79" s="251">
        <f t="shared" ref="AA79:AB79" si="56">SUM(AA63:AA78)</f>
        <v>846</v>
      </c>
      <c r="AB79" s="251">
        <f t="shared" si="56"/>
        <v>846</v>
      </c>
      <c r="AC79" s="251">
        <f t="shared" ref="AC79:AD79" si="57">SUM(AC63:AC78)</f>
        <v>1393</v>
      </c>
      <c r="AD79" s="251">
        <f t="shared" si="57"/>
        <v>1393</v>
      </c>
      <c r="AE79" s="251">
        <f t="shared" ref="AE79" si="58">SUM(AE63:AE78)</f>
        <v>1393</v>
      </c>
      <c r="AF79" s="251"/>
      <c r="AG79" s="251"/>
    </row>
    <row r="83" spans="1:34" x14ac:dyDescent="0.25">
      <c r="A83" t="s">
        <v>410</v>
      </c>
    </row>
    <row r="91" spans="1:34" x14ac:dyDescent="0.25">
      <c r="A91" s="12" t="s">
        <v>558</v>
      </c>
      <c r="B91" s="2"/>
      <c r="C91" s="2"/>
      <c r="D91" s="165"/>
      <c r="E91" s="165"/>
      <c r="F91" s="13"/>
      <c r="G91" s="196"/>
      <c r="H91" s="196"/>
      <c r="I91" s="196"/>
      <c r="J91" s="196"/>
      <c r="K91" s="196"/>
      <c r="L91" s="196"/>
      <c r="M91" s="158"/>
      <c r="N91" s="158"/>
      <c r="O91" s="158"/>
      <c r="P91" s="158"/>
      <c r="Q91" s="158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</row>
    <row r="92" spans="1:34" x14ac:dyDescent="0.25">
      <c r="A92" s="3" t="s">
        <v>561</v>
      </c>
      <c r="B92" s="4"/>
      <c r="C92" s="4">
        <v>232</v>
      </c>
      <c r="D92" s="169">
        <v>188</v>
      </c>
      <c r="E92" s="169"/>
      <c r="F92" s="4"/>
      <c r="G92" s="169">
        <v>330</v>
      </c>
      <c r="H92" s="193"/>
      <c r="I92" s="193"/>
      <c r="J92" s="193"/>
      <c r="K92" s="193"/>
      <c r="L92" s="193"/>
      <c r="O92">
        <f t="shared" ref="O92:AE92" si="59">13+41+2+185+40+17+7+16</f>
        <v>321</v>
      </c>
      <c r="P92">
        <f t="shared" si="59"/>
        <v>321</v>
      </c>
      <c r="Q92">
        <f t="shared" si="59"/>
        <v>321</v>
      </c>
      <c r="R92" s="7">
        <f t="shared" si="59"/>
        <v>321</v>
      </c>
      <c r="S92" s="7">
        <f t="shared" si="59"/>
        <v>321</v>
      </c>
      <c r="T92" s="7">
        <f t="shared" si="59"/>
        <v>321</v>
      </c>
      <c r="U92" s="7">
        <f t="shared" si="59"/>
        <v>321</v>
      </c>
      <c r="V92" s="7">
        <f t="shared" si="59"/>
        <v>321</v>
      </c>
      <c r="W92" s="7">
        <f t="shared" si="59"/>
        <v>321</v>
      </c>
      <c r="X92" s="7">
        <f t="shared" si="59"/>
        <v>321</v>
      </c>
      <c r="Y92" s="7">
        <f t="shared" si="59"/>
        <v>321</v>
      </c>
      <c r="Z92" s="7">
        <f t="shared" si="59"/>
        <v>321</v>
      </c>
      <c r="AA92" s="7">
        <f t="shared" si="59"/>
        <v>321</v>
      </c>
      <c r="AB92" s="7">
        <f t="shared" si="59"/>
        <v>321</v>
      </c>
      <c r="AC92" s="7">
        <f t="shared" si="59"/>
        <v>321</v>
      </c>
      <c r="AD92" s="7">
        <f t="shared" si="59"/>
        <v>321</v>
      </c>
      <c r="AE92" s="7">
        <f t="shared" si="59"/>
        <v>321</v>
      </c>
      <c r="AH92" t="s">
        <v>601</v>
      </c>
    </row>
    <row r="93" spans="1:34" x14ac:dyDescent="0.25">
      <c r="A93" s="3" t="s">
        <v>598</v>
      </c>
      <c r="B93" s="4"/>
      <c r="C93" s="4">
        <v>194</v>
      </c>
      <c r="D93" s="169">
        <v>165</v>
      </c>
      <c r="E93" s="169"/>
      <c r="F93" s="14"/>
      <c r="G93" s="193">
        <v>516</v>
      </c>
      <c r="H93" s="193"/>
      <c r="I93" s="193"/>
      <c r="J93" s="193"/>
      <c r="K93" s="193"/>
      <c r="L93" s="193"/>
      <c r="O93">
        <f t="shared" ref="O93:AE93" si="60">4+1+10+2+1</f>
        <v>18</v>
      </c>
      <c r="P93">
        <f t="shared" si="60"/>
        <v>18</v>
      </c>
      <c r="Q93">
        <f t="shared" si="60"/>
        <v>18</v>
      </c>
      <c r="R93" s="7">
        <f t="shared" si="60"/>
        <v>18</v>
      </c>
      <c r="S93" s="7">
        <f t="shared" si="60"/>
        <v>18</v>
      </c>
      <c r="T93" s="7">
        <f t="shared" si="60"/>
        <v>18</v>
      </c>
      <c r="U93" s="7">
        <f t="shared" si="60"/>
        <v>18</v>
      </c>
      <c r="V93" s="7">
        <f t="shared" si="60"/>
        <v>18</v>
      </c>
      <c r="W93" s="7">
        <f t="shared" si="60"/>
        <v>18</v>
      </c>
      <c r="X93" s="7">
        <f t="shared" si="60"/>
        <v>18</v>
      </c>
      <c r="Y93" s="7">
        <f t="shared" si="60"/>
        <v>18</v>
      </c>
      <c r="Z93" s="7">
        <f t="shared" si="60"/>
        <v>18</v>
      </c>
      <c r="AA93" s="7">
        <f t="shared" si="60"/>
        <v>18</v>
      </c>
      <c r="AB93" s="7">
        <f t="shared" si="60"/>
        <v>18</v>
      </c>
      <c r="AC93" s="7">
        <f t="shared" si="60"/>
        <v>18</v>
      </c>
      <c r="AD93" s="7">
        <f t="shared" si="60"/>
        <v>18</v>
      </c>
      <c r="AE93" s="7">
        <f t="shared" si="60"/>
        <v>18</v>
      </c>
      <c r="AH93">
        <f>AC92+AC93</f>
        <v>339</v>
      </c>
    </row>
    <row r="94" spans="1:34" x14ac:dyDescent="0.25">
      <c r="A94" s="3" t="s">
        <v>599</v>
      </c>
      <c r="B94" s="4"/>
      <c r="C94" s="4">
        <v>277</v>
      </c>
      <c r="D94" s="169">
        <v>212</v>
      </c>
      <c r="E94" s="169"/>
      <c r="F94" s="4"/>
      <c r="G94" s="169">
        <v>472</v>
      </c>
      <c r="H94" s="193"/>
      <c r="I94" s="193"/>
      <c r="J94" s="193"/>
      <c r="K94" s="193"/>
      <c r="L94" s="193"/>
      <c r="O94">
        <f t="shared" ref="O94:AE94" si="61">4+1+2+1</f>
        <v>8</v>
      </c>
      <c r="P94">
        <f t="shared" si="61"/>
        <v>8</v>
      </c>
      <c r="Q94">
        <f t="shared" si="61"/>
        <v>8</v>
      </c>
      <c r="R94" s="7">
        <f t="shared" si="61"/>
        <v>8</v>
      </c>
      <c r="S94" s="7">
        <f t="shared" si="61"/>
        <v>8</v>
      </c>
      <c r="T94" s="7">
        <f t="shared" si="61"/>
        <v>8</v>
      </c>
      <c r="U94" s="7">
        <f t="shared" si="61"/>
        <v>8</v>
      </c>
      <c r="V94" s="7">
        <f t="shared" si="61"/>
        <v>8</v>
      </c>
      <c r="W94" s="7">
        <f t="shared" si="61"/>
        <v>8</v>
      </c>
      <c r="X94" s="7">
        <f t="shared" si="61"/>
        <v>8</v>
      </c>
      <c r="Y94" s="7">
        <f t="shared" si="61"/>
        <v>8</v>
      </c>
      <c r="Z94" s="7">
        <f t="shared" si="61"/>
        <v>8</v>
      </c>
      <c r="AA94" s="7">
        <f t="shared" si="61"/>
        <v>8</v>
      </c>
      <c r="AB94" s="7">
        <f t="shared" si="61"/>
        <v>8</v>
      </c>
      <c r="AC94" s="7">
        <f t="shared" si="61"/>
        <v>8</v>
      </c>
      <c r="AD94" s="7">
        <f t="shared" si="61"/>
        <v>8</v>
      </c>
      <c r="AE94" s="7">
        <f t="shared" si="61"/>
        <v>8</v>
      </c>
      <c r="AH94">
        <f>AC92+AC94</f>
        <v>329</v>
      </c>
    </row>
    <row r="95" spans="1:34" x14ac:dyDescent="0.25">
      <c r="A95" s="3" t="s">
        <v>600</v>
      </c>
      <c r="B95" s="4"/>
      <c r="C95" s="4">
        <v>277</v>
      </c>
      <c r="D95" s="169">
        <v>212</v>
      </c>
      <c r="E95" s="169"/>
      <c r="F95" s="4"/>
      <c r="G95" s="169">
        <v>372</v>
      </c>
      <c r="H95" s="193"/>
      <c r="I95" s="193"/>
      <c r="J95" s="193"/>
      <c r="K95" s="193"/>
      <c r="L95" s="193"/>
      <c r="O95">
        <f>1</f>
        <v>1</v>
      </c>
      <c r="P95">
        <f>1</f>
        <v>1</v>
      </c>
      <c r="Q95">
        <f>1</f>
        <v>1</v>
      </c>
      <c r="R95" s="7">
        <f>1</f>
        <v>1</v>
      </c>
      <c r="S95" s="7">
        <f>1</f>
        <v>1</v>
      </c>
      <c r="T95" s="7">
        <f>1</f>
        <v>1</v>
      </c>
      <c r="U95" s="7">
        <f>1</f>
        <v>1</v>
      </c>
      <c r="V95" s="7">
        <f>1</f>
        <v>1</v>
      </c>
      <c r="W95" s="7">
        <f>1</f>
        <v>1</v>
      </c>
      <c r="X95" s="7">
        <f>1</f>
        <v>1</v>
      </c>
      <c r="Y95" s="7">
        <f>1</f>
        <v>1</v>
      </c>
      <c r="Z95" s="7">
        <f>1</f>
        <v>1</v>
      </c>
      <c r="AA95" s="7">
        <f>1</f>
        <v>1</v>
      </c>
      <c r="AB95" s="7">
        <f>1</f>
        <v>1</v>
      </c>
      <c r="AC95" s="7">
        <f>1</f>
        <v>1</v>
      </c>
      <c r="AD95" s="7">
        <f>1</f>
        <v>1</v>
      </c>
      <c r="AE95" s="7">
        <f>1</f>
        <v>1</v>
      </c>
      <c r="AH95">
        <f>AC92+AC95</f>
        <v>322</v>
      </c>
    </row>
    <row r="96" spans="1:34" x14ac:dyDescent="0.25">
      <c r="G96" t="s">
        <v>576</v>
      </c>
    </row>
    <row r="99" spans="1:34" x14ac:dyDescent="0.25">
      <c r="A99" t="s">
        <v>614</v>
      </c>
    </row>
    <row r="100" spans="1:34" x14ac:dyDescent="0.25">
      <c r="A100" s="3" t="s">
        <v>408</v>
      </c>
      <c r="O100">
        <v>41</v>
      </c>
      <c r="P100">
        <v>41</v>
      </c>
      <c r="Q100">
        <v>41</v>
      </c>
      <c r="R100" s="7">
        <v>41</v>
      </c>
      <c r="S100" s="7">
        <v>41</v>
      </c>
      <c r="T100" s="7">
        <v>41</v>
      </c>
      <c r="U100" s="7">
        <v>41</v>
      </c>
      <c r="V100" s="7">
        <v>41</v>
      </c>
      <c r="W100" s="7">
        <v>41</v>
      </c>
      <c r="X100" s="7">
        <v>41</v>
      </c>
      <c r="Y100" s="7">
        <v>41</v>
      </c>
      <c r="Z100" s="7">
        <v>41</v>
      </c>
      <c r="AA100" s="7">
        <v>41</v>
      </c>
      <c r="AB100" s="7">
        <v>41</v>
      </c>
      <c r="AC100" s="7">
        <v>41</v>
      </c>
      <c r="AD100" s="7">
        <v>41</v>
      </c>
      <c r="AE100" s="7">
        <v>41</v>
      </c>
    </row>
    <row r="101" spans="1:34" x14ac:dyDescent="0.25">
      <c r="A101" s="3" t="s">
        <v>407</v>
      </c>
      <c r="O101">
        <v>2</v>
      </c>
      <c r="P101">
        <v>2</v>
      </c>
      <c r="Q101">
        <v>2</v>
      </c>
      <c r="R101" s="7">
        <v>2</v>
      </c>
      <c r="S101" s="7">
        <v>2</v>
      </c>
      <c r="T101" s="7">
        <v>2</v>
      </c>
      <c r="U101" s="7">
        <v>2</v>
      </c>
      <c r="V101" s="7">
        <v>2</v>
      </c>
      <c r="W101" s="7">
        <v>2</v>
      </c>
      <c r="X101" s="7">
        <v>2</v>
      </c>
      <c r="Y101" s="7">
        <v>2</v>
      </c>
      <c r="Z101" s="7">
        <v>2</v>
      </c>
      <c r="AA101" s="7">
        <v>2</v>
      </c>
      <c r="AB101" s="7">
        <v>2</v>
      </c>
      <c r="AC101" s="7">
        <v>2</v>
      </c>
      <c r="AD101" s="7">
        <v>2</v>
      </c>
      <c r="AE101" s="7">
        <v>2</v>
      </c>
    </row>
    <row r="102" spans="1:34" x14ac:dyDescent="0.25">
      <c r="A102" s="3" t="s">
        <v>589</v>
      </c>
      <c r="O102">
        <f t="shared" ref="O102:AE102" si="62">185+40</f>
        <v>225</v>
      </c>
      <c r="P102">
        <f t="shared" si="62"/>
        <v>225</v>
      </c>
      <c r="Q102">
        <f t="shared" si="62"/>
        <v>225</v>
      </c>
      <c r="R102" s="7">
        <f t="shared" si="62"/>
        <v>225</v>
      </c>
      <c r="S102" s="7">
        <f t="shared" si="62"/>
        <v>225</v>
      </c>
      <c r="T102" s="7">
        <f t="shared" si="62"/>
        <v>225</v>
      </c>
      <c r="U102" s="7">
        <f t="shared" si="62"/>
        <v>225</v>
      </c>
      <c r="V102" s="7">
        <f t="shared" si="62"/>
        <v>225</v>
      </c>
      <c r="W102" s="7">
        <f t="shared" si="62"/>
        <v>225</v>
      </c>
      <c r="X102" s="7">
        <f t="shared" si="62"/>
        <v>225</v>
      </c>
      <c r="Y102" s="7">
        <f t="shared" si="62"/>
        <v>225</v>
      </c>
      <c r="Z102" s="7">
        <f t="shared" si="62"/>
        <v>225</v>
      </c>
      <c r="AA102" s="7">
        <f t="shared" si="62"/>
        <v>225</v>
      </c>
      <c r="AB102" s="7">
        <f t="shared" si="62"/>
        <v>225</v>
      </c>
      <c r="AC102" s="7">
        <f t="shared" si="62"/>
        <v>225</v>
      </c>
      <c r="AD102" s="7">
        <f t="shared" si="62"/>
        <v>225</v>
      </c>
      <c r="AE102" s="7">
        <f t="shared" si="62"/>
        <v>225</v>
      </c>
    </row>
    <row r="103" spans="1:34" x14ac:dyDescent="0.25">
      <c r="A103" s="3" t="s">
        <v>406</v>
      </c>
      <c r="O103">
        <v>16</v>
      </c>
      <c r="P103">
        <v>16</v>
      </c>
      <c r="Q103">
        <v>16</v>
      </c>
      <c r="R103" s="7">
        <v>16</v>
      </c>
      <c r="S103" s="7">
        <v>16</v>
      </c>
      <c r="T103" s="7">
        <v>16</v>
      </c>
      <c r="U103" s="7">
        <v>16</v>
      </c>
      <c r="V103" s="7">
        <v>16</v>
      </c>
      <c r="W103" s="7">
        <v>16</v>
      </c>
      <c r="X103" s="7">
        <v>16</v>
      </c>
      <c r="Y103" s="7">
        <v>16</v>
      </c>
      <c r="Z103" s="7">
        <v>16</v>
      </c>
      <c r="AA103" s="7">
        <v>16</v>
      </c>
      <c r="AB103" s="7">
        <v>16</v>
      </c>
      <c r="AC103" s="7">
        <v>16</v>
      </c>
      <c r="AD103" s="7">
        <v>16</v>
      </c>
      <c r="AE103" s="7">
        <v>16</v>
      </c>
    </row>
    <row r="104" spans="1:34" x14ac:dyDescent="0.25">
      <c r="O104" s="83">
        <f t="shared" ref="O104:T104" si="63">SUM(O100:O103)</f>
        <v>284</v>
      </c>
      <c r="P104" s="83">
        <f t="shared" si="63"/>
        <v>284</v>
      </c>
      <c r="Q104" s="83">
        <f t="shared" si="63"/>
        <v>284</v>
      </c>
      <c r="R104" s="250">
        <f t="shared" si="63"/>
        <v>284</v>
      </c>
      <c r="S104" s="250">
        <f t="shared" si="63"/>
        <v>284</v>
      </c>
      <c r="T104" s="250">
        <f t="shared" si="63"/>
        <v>284</v>
      </c>
      <c r="U104" s="250">
        <f t="shared" ref="U104:V104" si="64">SUM(U100:U103)</f>
        <v>284</v>
      </c>
      <c r="V104" s="250">
        <f t="shared" si="64"/>
        <v>284</v>
      </c>
      <c r="W104" s="250">
        <f t="shared" ref="W104:X104" si="65">SUM(W100:W103)</f>
        <v>284</v>
      </c>
      <c r="X104" s="250">
        <f t="shared" si="65"/>
        <v>284</v>
      </c>
      <c r="Y104" s="250">
        <f t="shared" ref="Y104:Z104" si="66">SUM(Y100:Y103)</f>
        <v>284</v>
      </c>
      <c r="Z104" s="250">
        <f t="shared" si="66"/>
        <v>284</v>
      </c>
      <c r="AA104" s="250">
        <f t="shared" ref="AA104:AB104" si="67">SUM(AA100:AA103)</f>
        <v>284</v>
      </c>
      <c r="AB104" s="250">
        <f t="shared" si="67"/>
        <v>284</v>
      </c>
      <c r="AC104" s="250">
        <f t="shared" ref="AC104:AD104" si="68">SUM(AC100:AC103)</f>
        <v>284</v>
      </c>
      <c r="AD104" s="250">
        <f t="shared" si="68"/>
        <v>284</v>
      </c>
      <c r="AE104" s="250">
        <f t="shared" ref="AE104" si="69">SUM(AE100:AE103)</f>
        <v>284</v>
      </c>
      <c r="AF104" s="250"/>
      <c r="AG104" s="250"/>
    </row>
    <row r="106" spans="1:34" x14ac:dyDescent="0.25">
      <c r="V106" s="83" t="s">
        <v>619</v>
      </c>
      <c r="W106" s="83" t="s">
        <v>619</v>
      </c>
      <c r="X106" s="83" t="s">
        <v>619</v>
      </c>
      <c r="Y106" s="83" t="s">
        <v>619</v>
      </c>
      <c r="Z106" s="83" t="s">
        <v>619</v>
      </c>
      <c r="AA106" s="83" t="s">
        <v>619</v>
      </c>
      <c r="AB106" s="83" t="s">
        <v>619</v>
      </c>
      <c r="AC106" s="83" t="s">
        <v>619</v>
      </c>
      <c r="AD106" s="83" t="s">
        <v>619</v>
      </c>
      <c r="AE106" s="83" t="s">
        <v>619</v>
      </c>
      <c r="AF106" s="83"/>
      <c r="AG106" s="83"/>
    </row>
    <row r="107" spans="1:34" x14ac:dyDescent="0.25">
      <c r="V107" s="83"/>
      <c r="W107" s="83"/>
      <c r="X107" s="83"/>
      <c r="Y107" s="83"/>
      <c r="Z107" s="83"/>
      <c r="AA107" s="83"/>
      <c r="AB107" s="83"/>
      <c r="AC107" s="83" t="s">
        <v>654</v>
      </c>
      <c r="AD107" s="83" t="s">
        <v>654</v>
      </c>
      <c r="AE107" s="83" t="s">
        <v>654</v>
      </c>
      <c r="AF107" s="83"/>
      <c r="AG107" s="83"/>
      <c r="AH107">
        <v>2</v>
      </c>
    </row>
    <row r="108" spans="1:34" x14ac:dyDescent="0.25">
      <c r="A108" s="83" t="s">
        <v>619</v>
      </c>
      <c r="V108" t="s">
        <v>620</v>
      </c>
      <c r="W108" t="s">
        <v>620</v>
      </c>
      <c r="X108" t="s">
        <v>620</v>
      </c>
      <c r="Y108" t="s">
        <v>620</v>
      </c>
      <c r="Z108" t="s">
        <v>620</v>
      </c>
      <c r="AA108" t="s">
        <v>620</v>
      </c>
      <c r="AB108" t="s">
        <v>620</v>
      </c>
      <c r="AC108" t="s">
        <v>620</v>
      </c>
      <c r="AD108" t="s">
        <v>620</v>
      </c>
      <c r="AE108" t="s">
        <v>620</v>
      </c>
      <c r="AF108"/>
      <c r="AG108"/>
      <c r="AH108">
        <v>6</v>
      </c>
    </row>
    <row r="109" spans="1:34" x14ac:dyDescent="0.25">
      <c r="A109" t="s">
        <v>620</v>
      </c>
      <c r="V109" t="s">
        <v>621</v>
      </c>
      <c r="W109" t="s">
        <v>621</v>
      </c>
      <c r="X109" t="s">
        <v>621</v>
      </c>
      <c r="Y109" t="s">
        <v>621</v>
      </c>
      <c r="Z109" t="s">
        <v>621</v>
      </c>
      <c r="AA109" t="s">
        <v>621</v>
      </c>
      <c r="AB109" t="s">
        <v>621</v>
      </c>
      <c r="AC109" t="s">
        <v>621</v>
      </c>
      <c r="AD109" t="s">
        <v>621</v>
      </c>
      <c r="AE109" t="s">
        <v>621</v>
      </c>
      <c r="AF109"/>
      <c r="AG109"/>
      <c r="AH109">
        <v>1</v>
      </c>
    </row>
    <row r="110" spans="1:34" x14ac:dyDescent="0.25">
      <c r="A110" t="s">
        <v>621</v>
      </c>
      <c r="V110" t="s">
        <v>622</v>
      </c>
      <c r="W110" t="s">
        <v>622</v>
      </c>
      <c r="X110" t="s">
        <v>622</v>
      </c>
      <c r="Y110" t="s">
        <v>622</v>
      </c>
      <c r="Z110" t="s">
        <v>622</v>
      </c>
      <c r="AA110" t="s">
        <v>622</v>
      </c>
      <c r="AB110" t="s">
        <v>622</v>
      </c>
      <c r="AC110" t="s">
        <v>622</v>
      </c>
      <c r="AD110" t="s">
        <v>622</v>
      </c>
      <c r="AE110" t="s">
        <v>622</v>
      </c>
      <c r="AF110"/>
      <c r="AG110"/>
      <c r="AH110">
        <v>2</v>
      </c>
    </row>
    <row r="111" spans="1:34" x14ac:dyDescent="0.25">
      <c r="V111"/>
      <c r="W111"/>
      <c r="X111"/>
      <c r="Y111"/>
      <c r="Z111"/>
      <c r="AA111"/>
      <c r="AB111"/>
      <c r="AC111" t="s">
        <v>655</v>
      </c>
      <c r="AD111" t="s">
        <v>655</v>
      </c>
      <c r="AE111" t="s">
        <v>655</v>
      </c>
      <c r="AF111"/>
      <c r="AG111"/>
      <c r="AH111">
        <v>1</v>
      </c>
    </row>
    <row r="112" spans="1:34" x14ac:dyDescent="0.25">
      <c r="A112" t="s">
        <v>622</v>
      </c>
      <c r="V112" t="s">
        <v>623</v>
      </c>
      <c r="W112" t="s">
        <v>623</v>
      </c>
      <c r="X112" t="s">
        <v>623</v>
      </c>
      <c r="Y112" t="s">
        <v>623</v>
      </c>
      <c r="Z112" t="s">
        <v>623</v>
      </c>
      <c r="AA112" t="s">
        <v>623</v>
      </c>
      <c r="AB112" t="s">
        <v>623</v>
      </c>
      <c r="AC112" t="s">
        <v>623</v>
      </c>
      <c r="AD112" t="s">
        <v>623</v>
      </c>
      <c r="AE112" t="s">
        <v>623</v>
      </c>
      <c r="AF112"/>
      <c r="AG112"/>
      <c r="AH112">
        <v>3</v>
      </c>
    </row>
    <row r="113" spans="1:34" x14ac:dyDescent="0.25">
      <c r="V113"/>
      <c r="W113"/>
      <c r="X113"/>
      <c r="Y113"/>
      <c r="Z113"/>
      <c r="AA113"/>
      <c r="AB113"/>
      <c r="AC113" t="s">
        <v>657</v>
      </c>
      <c r="AD113" t="s">
        <v>657</v>
      </c>
      <c r="AE113" t="s">
        <v>657</v>
      </c>
      <c r="AF113"/>
      <c r="AG113"/>
      <c r="AH113">
        <v>3</v>
      </c>
    </row>
    <row r="114" spans="1:34" x14ac:dyDescent="0.25">
      <c r="A114" t="s">
        <v>623</v>
      </c>
      <c r="V114" s="56" t="s">
        <v>645</v>
      </c>
      <c r="W114" s="56" t="s">
        <v>645</v>
      </c>
      <c r="X114" s="56" t="s">
        <v>645</v>
      </c>
      <c r="Y114" s="56" t="s">
        <v>645</v>
      </c>
      <c r="Z114" s="56" t="s">
        <v>645</v>
      </c>
      <c r="AA114" s="56" t="s">
        <v>645</v>
      </c>
      <c r="AB114" s="56" t="s">
        <v>645</v>
      </c>
      <c r="AC114" s="56" t="s">
        <v>645</v>
      </c>
      <c r="AD114" s="56" t="s">
        <v>645</v>
      </c>
      <c r="AE114" s="56" t="s">
        <v>645</v>
      </c>
      <c r="AF114" s="56"/>
      <c r="AG114" s="56"/>
      <c r="AH114">
        <v>1</v>
      </c>
    </row>
    <row r="115" spans="1:34" x14ac:dyDescent="0.25">
      <c r="V115" s="56"/>
      <c r="W115" s="56"/>
      <c r="X115" s="56"/>
      <c r="Y115" s="56"/>
      <c r="Z115" s="56"/>
      <c r="AA115" s="56"/>
      <c r="AB115" s="56"/>
      <c r="AC115" s="56" t="s">
        <v>658</v>
      </c>
      <c r="AD115" s="56" t="s">
        <v>658</v>
      </c>
      <c r="AE115" s="56" t="s">
        <v>658</v>
      </c>
      <c r="AF115" s="56"/>
      <c r="AG115" s="56"/>
      <c r="AH115">
        <v>1</v>
      </c>
    </row>
    <row r="116" spans="1:34" x14ac:dyDescent="0.25">
      <c r="V116" s="56"/>
      <c r="W116" s="56"/>
      <c r="X116" s="56"/>
      <c r="Y116" s="56"/>
      <c r="Z116" s="56"/>
      <c r="AA116" s="56"/>
      <c r="AB116" s="56"/>
      <c r="AC116" s="56" t="s">
        <v>656</v>
      </c>
      <c r="AD116" s="56" t="s">
        <v>656</v>
      </c>
      <c r="AE116" s="56" t="s">
        <v>656</v>
      </c>
      <c r="AF116" s="56"/>
      <c r="AG116" s="56"/>
      <c r="AH116">
        <v>1</v>
      </c>
    </row>
    <row r="117" spans="1:34" x14ac:dyDescent="0.25">
      <c r="A117" t="s">
        <v>624</v>
      </c>
      <c r="V117" t="s">
        <v>624</v>
      </c>
      <c r="W117" t="s">
        <v>624</v>
      </c>
      <c r="X117" t="s">
        <v>624</v>
      </c>
      <c r="Y117" t="s">
        <v>624</v>
      </c>
      <c r="Z117" t="s">
        <v>624</v>
      </c>
      <c r="AA117" t="s">
        <v>624</v>
      </c>
      <c r="AB117" t="s">
        <v>624</v>
      </c>
      <c r="AC117" t="s">
        <v>624</v>
      </c>
      <c r="AD117" t="s">
        <v>624</v>
      </c>
      <c r="AE117" t="s">
        <v>624</v>
      </c>
      <c r="AF117"/>
      <c r="AG117"/>
      <c r="AH117">
        <v>3</v>
      </c>
    </row>
    <row r="118" spans="1:34" x14ac:dyDescent="0.25">
      <c r="A118" t="s">
        <v>625</v>
      </c>
      <c r="V118" s="56" t="s">
        <v>646</v>
      </c>
      <c r="W118" s="56" t="s">
        <v>646</v>
      </c>
      <c r="X118" s="56" t="s">
        <v>646</v>
      </c>
      <c r="Y118" s="56" t="s">
        <v>646</v>
      </c>
      <c r="Z118" s="56" t="s">
        <v>646</v>
      </c>
      <c r="AA118" s="56" t="s">
        <v>646</v>
      </c>
      <c r="AB118" s="56" t="s">
        <v>646</v>
      </c>
      <c r="AC118" s="56" t="s">
        <v>646</v>
      </c>
      <c r="AD118" s="56" t="s">
        <v>646</v>
      </c>
      <c r="AE118" s="56" t="s">
        <v>646</v>
      </c>
      <c r="AF118" s="56"/>
      <c r="AG118" s="56"/>
      <c r="AH118">
        <v>2</v>
      </c>
    </row>
    <row r="119" spans="1:34" x14ac:dyDescent="0.25">
      <c r="V119" s="56"/>
      <c r="W119" s="56"/>
      <c r="X119" s="56"/>
      <c r="Y119" s="56"/>
      <c r="Z119" s="56"/>
      <c r="AA119" s="56"/>
      <c r="AB119" s="56"/>
      <c r="AC119" s="56" t="s">
        <v>659</v>
      </c>
      <c r="AD119" s="56" t="s">
        <v>659</v>
      </c>
      <c r="AE119" s="56" t="s">
        <v>659</v>
      </c>
      <c r="AF119" s="56"/>
      <c r="AG119" s="56"/>
      <c r="AH119">
        <v>2</v>
      </c>
    </row>
    <row r="120" spans="1:34" x14ac:dyDescent="0.25">
      <c r="V120" s="56"/>
      <c r="W120" s="56"/>
      <c r="X120" s="56"/>
      <c r="Y120" s="56"/>
      <c r="Z120" s="56"/>
      <c r="AA120" s="56"/>
      <c r="AB120" s="56"/>
      <c r="AC120" s="56" t="s">
        <v>660</v>
      </c>
      <c r="AD120" s="56" t="s">
        <v>660</v>
      </c>
      <c r="AE120" s="56" t="s">
        <v>660</v>
      </c>
      <c r="AF120" s="56"/>
      <c r="AG120" s="56"/>
      <c r="AH120">
        <v>1</v>
      </c>
    </row>
    <row r="121" spans="1:34" x14ac:dyDescent="0.25">
      <c r="V121" s="56"/>
      <c r="W121" s="56"/>
      <c r="X121" s="56"/>
      <c r="Y121" s="56"/>
      <c r="Z121" s="56"/>
      <c r="AA121" s="56"/>
      <c r="AB121" s="56"/>
      <c r="AC121" s="56" t="s">
        <v>661</v>
      </c>
      <c r="AD121" s="56" t="s">
        <v>661</v>
      </c>
      <c r="AE121" s="56" t="s">
        <v>661</v>
      </c>
      <c r="AF121" s="56"/>
      <c r="AG121" s="56"/>
      <c r="AH121">
        <v>1</v>
      </c>
    </row>
    <row r="122" spans="1:34" x14ac:dyDescent="0.25">
      <c r="A122" t="s">
        <v>626</v>
      </c>
      <c r="V122" t="s">
        <v>625</v>
      </c>
      <c r="W122" t="s">
        <v>625</v>
      </c>
      <c r="X122" t="s">
        <v>625</v>
      </c>
      <c r="Y122" t="s">
        <v>625</v>
      </c>
      <c r="Z122" t="s">
        <v>625</v>
      </c>
      <c r="AA122" t="s">
        <v>625</v>
      </c>
      <c r="AB122" t="s">
        <v>625</v>
      </c>
      <c r="AC122" t="s">
        <v>625</v>
      </c>
      <c r="AD122" t="s">
        <v>625</v>
      </c>
      <c r="AE122" t="s">
        <v>625</v>
      </c>
      <c r="AF122"/>
      <c r="AG122"/>
      <c r="AH122">
        <v>1</v>
      </c>
    </row>
    <row r="123" spans="1:34" x14ac:dyDescent="0.25">
      <c r="V123"/>
      <c r="W123"/>
      <c r="X123"/>
      <c r="Y123"/>
      <c r="Z123"/>
      <c r="AA123"/>
      <c r="AB123"/>
      <c r="AC123" s="56" t="s">
        <v>662</v>
      </c>
      <c r="AD123" s="56" t="s">
        <v>662</v>
      </c>
      <c r="AE123" s="56" t="s">
        <v>662</v>
      </c>
      <c r="AF123" s="56"/>
      <c r="AG123" s="56"/>
      <c r="AH123">
        <v>4</v>
      </c>
    </row>
    <row r="124" spans="1:34" x14ac:dyDescent="0.25">
      <c r="V124"/>
      <c r="W124"/>
      <c r="X124"/>
      <c r="Y124"/>
      <c r="Z124"/>
      <c r="AA124"/>
      <c r="AB124"/>
      <c r="AC124" s="56" t="s">
        <v>663</v>
      </c>
      <c r="AD124" s="56" t="s">
        <v>663</v>
      </c>
      <c r="AE124" s="56" t="s">
        <v>663</v>
      </c>
      <c r="AF124" s="56"/>
      <c r="AG124" s="56"/>
      <c r="AH124">
        <v>1</v>
      </c>
    </row>
    <row r="125" spans="1:34" x14ac:dyDescent="0.25">
      <c r="V125"/>
      <c r="W125"/>
      <c r="X125"/>
      <c r="Y125"/>
      <c r="Z125"/>
      <c r="AA125"/>
      <c r="AB125"/>
      <c r="AC125" s="56" t="s">
        <v>664</v>
      </c>
      <c r="AD125" s="56" t="s">
        <v>664</v>
      </c>
      <c r="AE125" s="56" t="s">
        <v>664</v>
      </c>
      <c r="AF125" s="56"/>
      <c r="AG125" s="56"/>
      <c r="AH125">
        <v>1</v>
      </c>
    </row>
    <row r="126" spans="1:34" x14ac:dyDescent="0.25">
      <c r="V126"/>
      <c r="W126"/>
      <c r="X126"/>
      <c r="Y126"/>
      <c r="Z126"/>
      <c r="AA126"/>
      <c r="AB126"/>
      <c r="AC126" s="56" t="s">
        <v>625</v>
      </c>
      <c r="AD126" s="56" t="s">
        <v>625</v>
      </c>
      <c r="AE126" s="56" t="s">
        <v>625</v>
      </c>
      <c r="AF126" s="56"/>
      <c r="AG126" s="56"/>
      <c r="AH126">
        <v>1</v>
      </c>
    </row>
    <row r="127" spans="1:34" x14ac:dyDescent="0.25">
      <c r="A127" t="s">
        <v>627</v>
      </c>
      <c r="V127" t="s">
        <v>626</v>
      </c>
      <c r="W127" t="s">
        <v>626</v>
      </c>
      <c r="X127" t="s">
        <v>626</v>
      </c>
      <c r="Y127" t="s">
        <v>626</v>
      </c>
      <c r="Z127" t="s">
        <v>626</v>
      </c>
      <c r="AA127" t="s">
        <v>626</v>
      </c>
      <c r="AB127" t="s">
        <v>626</v>
      </c>
      <c r="AC127" t="s">
        <v>626</v>
      </c>
      <c r="AD127" t="s">
        <v>626</v>
      </c>
      <c r="AE127" t="s">
        <v>626</v>
      </c>
      <c r="AF127"/>
      <c r="AG127"/>
      <c r="AH127">
        <v>4</v>
      </c>
    </row>
    <row r="128" spans="1:34" x14ac:dyDescent="0.25">
      <c r="A128" t="s">
        <v>628</v>
      </c>
      <c r="V128" t="s">
        <v>627</v>
      </c>
      <c r="W128" t="s">
        <v>627</v>
      </c>
      <c r="X128" t="s">
        <v>627</v>
      </c>
      <c r="Y128" t="s">
        <v>627</v>
      </c>
      <c r="Z128" t="s">
        <v>627</v>
      </c>
      <c r="AA128" t="s">
        <v>627</v>
      </c>
      <c r="AB128" t="s">
        <v>627</v>
      </c>
      <c r="AC128" t="s">
        <v>627</v>
      </c>
      <c r="AD128" t="s">
        <v>627</v>
      </c>
      <c r="AE128" t="s">
        <v>627</v>
      </c>
      <c r="AF128"/>
      <c r="AG128"/>
      <c r="AH128">
        <v>6</v>
      </c>
    </row>
    <row r="129" spans="1:34" x14ac:dyDescent="0.25">
      <c r="A129" t="s">
        <v>629</v>
      </c>
      <c r="V129" t="s">
        <v>628</v>
      </c>
      <c r="W129" t="s">
        <v>628</v>
      </c>
      <c r="X129" t="s">
        <v>628</v>
      </c>
      <c r="Y129" t="s">
        <v>628</v>
      </c>
      <c r="Z129" t="s">
        <v>628</v>
      </c>
      <c r="AA129" t="s">
        <v>628</v>
      </c>
      <c r="AB129" t="s">
        <v>628</v>
      </c>
      <c r="AC129" t="s">
        <v>628</v>
      </c>
      <c r="AD129" t="s">
        <v>628</v>
      </c>
      <c r="AE129" t="s">
        <v>628</v>
      </c>
      <c r="AF129"/>
      <c r="AG129"/>
      <c r="AH129">
        <v>25</v>
      </c>
    </row>
    <row r="130" spans="1:34" x14ac:dyDescent="0.25">
      <c r="A130" t="s">
        <v>630</v>
      </c>
      <c r="V130" t="s">
        <v>629</v>
      </c>
      <c r="W130" t="s">
        <v>629</v>
      </c>
      <c r="X130" t="s">
        <v>629</v>
      </c>
      <c r="Y130" t="s">
        <v>629</v>
      </c>
      <c r="Z130" t="s">
        <v>629</v>
      </c>
      <c r="AA130" t="s">
        <v>629</v>
      </c>
      <c r="AB130" t="s">
        <v>629</v>
      </c>
      <c r="AC130" t="s">
        <v>629</v>
      </c>
      <c r="AD130" t="s">
        <v>629</v>
      </c>
      <c r="AE130" t="s">
        <v>629</v>
      </c>
      <c r="AF130"/>
      <c r="AG130"/>
      <c r="AH130">
        <v>4</v>
      </c>
    </row>
    <row r="131" spans="1:34" x14ac:dyDescent="0.25">
      <c r="A131" t="s">
        <v>631</v>
      </c>
      <c r="V131" t="s">
        <v>630</v>
      </c>
      <c r="W131" t="s">
        <v>630</v>
      </c>
      <c r="X131" t="s">
        <v>630</v>
      </c>
      <c r="Y131" t="s">
        <v>630</v>
      </c>
      <c r="Z131" t="s">
        <v>630</v>
      </c>
      <c r="AA131" t="s">
        <v>630</v>
      </c>
      <c r="AB131" t="s">
        <v>630</v>
      </c>
      <c r="AC131" t="s">
        <v>630</v>
      </c>
      <c r="AD131" t="s">
        <v>630</v>
      </c>
      <c r="AE131" t="s">
        <v>630</v>
      </c>
      <c r="AF131"/>
      <c r="AG131"/>
      <c r="AH131">
        <v>1</v>
      </c>
    </row>
    <row r="132" spans="1:34" x14ac:dyDescent="0.25">
      <c r="A132" t="s">
        <v>632</v>
      </c>
      <c r="V132" t="s">
        <v>631</v>
      </c>
      <c r="W132" t="s">
        <v>631</v>
      </c>
      <c r="X132" t="s">
        <v>631</v>
      </c>
      <c r="Y132" t="s">
        <v>631</v>
      </c>
      <c r="Z132" t="s">
        <v>631</v>
      </c>
      <c r="AA132" t="s">
        <v>631</v>
      </c>
      <c r="AB132" t="s">
        <v>631</v>
      </c>
      <c r="AC132" t="s">
        <v>631</v>
      </c>
      <c r="AD132" t="s">
        <v>631</v>
      </c>
      <c r="AE132" t="s">
        <v>631</v>
      </c>
      <c r="AF132"/>
      <c r="AG132"/>
      <c r="AH132">
        <v>6</v>
      </c>
    </row>
    <row r="133" spans="1:34" x14ac:dyDescent="0.25">
      <c r="V133"/>
      <c r="W133"/>
      <c r="X133"/>
      <c r="Y133"/>
      <c r="Z133"/>
      <c r="AA133"/>
      <c r="AB133"/>
      <c r="AC133" t="s">
        <v>665</v>
      </c>
      <c r="AD133" t="s">
        <v>665</v>
      </c>
      <c r="AE133" t="s">
        <v>665</v>
      </c>
      <c r="AF133"/>
      <c r="AG133"/>
      <c r="AH133">
        <v>1</v>
      </c>
    </row>
    <row r="134" spans="1:34" x14ac:dyDescent="0.25">
      <c r="A134" t="s">
        <v>633</v>
      </c>
      <c r="V134" t="s">
        <v>632</v>
      </c>
      <c r="W134" t="s">
        <v>632</v>
      </c>
      <c r="X134" t="s">
        <v>632</v>
      </c>
      <c r="Y134" t="s">
        <v>632</v>
      </c>
      <c r="Z134" t="s">
        <v>632</v>
      </c>
      <c r="AA134" t="s">
        <v>632</v>
      </c>
      <c r="AB134" t="s">
        <v>632</v>
      </c>
      <c r="AC134" t="s">
        <v>632</v>
      </c>
      <c r="AD134" t="s">
        <v>632</v>
      </c>
      <c r="AE134" t="s">
        <v>632</v>
      </c>
      <c r="AF134"/>
      <c r="AG134"/>
      <c r="AH134">
        <v>3</v>
      </c>
    </row>
    <row r="135" spans="1:34" x14ac:dyDescent="0.25">
      <c r="A135" t="s">
        <v>634</v>
      </c>
      <c r="V135" t="s">
        <v>633</v>
      </c>
      <c r="W135" t="s">
        <v>633</v>
      </c>
      <c r="X135" t="s">
        <v>633</v>
      </c>
      <c r="Y135" t="s">
        <v>633</v>
      </c>
      <c r="Z135" t="s">
        <v>633</v>
      </c>
      <c r="AA135" t="s">
        <v>633</v>
      </c>
      <c r="AB135" t="s">
        <v>633</v>
      </c>
      <c r="AC135" t="s">
        <v>633</v>
      </c>
      <c r="AD135" t="s">
        <v>633</v>
      </c>
      <c r="AE135" t="s">
        <v>633</v>
      </c>
      <c r="AF135"/>
      <c r="AG135"/>
      <c r="AH135">
        <v>4</v>
      </c>
    </row>
    <row r="136" spans="1:34" x14ac:dyDescent="0.25">
      <c r="A136" t="s">
        <v>635</v>
      </c>
      <c r="V136" t="s">
        <v>634</v>
      </c>
      <c r="W136" t="s">
        <v>634</v>
      </c>
      <c r="X136" t="s">
        <v>634</v>
      </c>
      <c r="Y136" t="s">
        <v>634</v>
      </c>
      <c r="Z136" t="s">
        <v>634</v>
      </c>
      <c r="AA136" t="s">
        <v>634</v>
      </c>
      <c r="AB136" t="s">
        <v>634</v>
      </c>
      <c r="AC136" t="s">
        <v>634</v>
      </c>
      <c r="AD136" t="s">
        <v>634</v>
      </c>
      <c r="AE136" t="s">
        <v>634</v>
      </c>
      <c r="AF136"/>
      <c r="AG136"/>
      <c r="AH136">
        <v>3</v>
      </c>
    </row>
    <row r="137" spans="1:34" x14ac:dyDescent="0.25">
      <c r="A137" t="s">
        <v>636</v>
      </c>
      <c r="V137" t="s">
        <v>635</v>
      </c>
      <c r="W137" t="s">
        <v>635</v>
      </c>
      <c r="X137" t="s">
        <v>635</v>
      </c>
      <c r="Y137" t="s">
        <v>635</v>
      </c>
      <c r="Z137" t="s">
        <v>635</v>
      </c>
      <c r="AA137" t="s">
        <v>635</v>
      </c>
      <c r="AB137" t="s">
        <v>635</v>
      </c>
      <c r="AC137" t="s">
        <v>635</v>
      </c>
      <c r="AD137" t="s">
        <v>635</v>
      </c>
      <c r="AE137" t="s">
        <v>635</v>
      </c>
      <c r="AF137"/>
      <c r="AG137"/>
      <c r="AH137">
        <v>1</v>
      </c>
    </row>
    <row r="138" spans="1:34" x14ac:dyDescent="0.25">
      <c r="A138" t="s">
        <v>637</v>
      </c>
      <c r="V138" t="s">
        <v>636</v>
      </c>
      <c r="W138" t="s">
        <v>636</v>
      </c>
      <c r="X138" t="s">
        <v>636</v>
      </c>
      <c r="Y138" t="s">
        <v>636</v>
      </c>
      <c r="Z138" t="s">
        <v>636</v>
      </c>
      <c r="AA138" t="s">
        <v>636</v>
      </c>
      <c r="AB138" t="s">
        <v>636</v>
      </c>
      <c r="AC138" t="s">
        <v>636</v>
      </c>
      <c r="AD138" t="s">
        <v>636</v>
      </c>
      <c r="AE138" t="s">
        <v>636</v>
      </c>
      <c r="AF138"/>
      <c r="AG138"/>
      <c r="AH138">
        <v>3</v>
      </c>
    </row>
    <row r="139" spans="1:34" x14ac:dyDescent="0.25">
      <c r="V139" t="s">
        <v>637</v>
      </c>
      <c r="W139" t="s">
        <v>637</v>
      </c>
      <c r="X139" t="s">
        <v>637</v>
      </c>
      <c r="Y139" t="s">
        <v>637</v>
      </c>
      <c r="Z139" t="s">
        <v>637</v>
      </c>
      <c r="AA139" t="s">
        <v>637</v>
      </c>
      <c r="AB139" t="s">
        <v>637</v>
      </c>
      <c r="AC139" t="s">
        <v>637</v>
      </c>
      <c r="AD139" t="s">
        <v>637</v>
      </c>
      <c r="AE139" t="s">
        <v>637</v>
      </c>
      <c r="AF139"/>
      <c r="AG139"/>
      <c r="AH139">
        <v>9</v>
      </c>
    </row>
    <row r="141" spans="1:34" x14ac:dyDescent="0.25">
      <c r="AH141" s="83">
        <f>SUM(AH107:AH140)</f>
        <v>108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36DD6-7E95-8A4A-9267-27A58C5F4894}">
  <dimension ref="A1"/>
  <sheetViews>
    <sheetView zoomScale="110" zoomScaleNormal="110"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4"/>
  <sheetViews>
    <sheetView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X8" sqref="X8"/>
    </sheetView>
  </sheetViews>
  <sheetFormatPr defaultColWidth="11.42578125" defaultRowHeight="15" x14ac:dyDescent="0.25"/>
  <cols>
    <col min="1" max="1" width="27.28515625" bestFit="1" customWidth="1"/>
    <col min="2" max="5" width="11.7109375" hidden="1" customWidth="1"/>
    <col min="6" max="6" width="11.7109375" bestFit="1" customWidth="1"/>
    <col min="7" max="7" width="13.28515625" customWidth="1"/>
    <col min="8" max="13" width="11.7109375" bestFit="1" customWidth="1"/>
    <col min="14" max="14" width="13.42578125" customWidth="1"/>
    <col min="15" max="15" width="15.42578125" customWidth="1"/>
    <col min="16" max="16" width="14.42578125" customWidth="1"/>
    <col min="17" max="17" width="12.7109375" customWidth="1"/>
    <col min="18" max="18" width="15" customWidth="1"/>
    <col min="19" max="19" width="14.28515625" customWidth="1"/>
    <col min="20" max="20" width="11.7109375" bestFit="1" customWidth="1"/>
    <col min="21" max="21" width="14.42578125" customWidth="1"/>
    <col min="22" max="22" width="14.7109375" customWidth="1"/>
    <col min="23" max="23" width="17" customWidth="1"/>
    <col min="24" max="24" width="15.7109375" customWidth="1"/>
    <col min="25" max="26" width="11.7109375" bestFit="1" customWidth="1"/>
    <col min="27" max="27" width="15.140625" customWidth="1"/>
  </cols>
  <sheetData>
    <row r="1" spans="1:29" ht="15.75" x14ac:dyDescent="0.25">
      <c r="A1" s="227" t="s">
        <v>530</v>
      </c>
      <c r="B1" s="142"/>
      <c r="C1" s="143"/>
      <c r="D1" s="143"/>
      <c r="E1" s="212"/>
      <c r="F1" s="213"/>
      <c r="G1" s="224"/>
      <c r="H1" s="227" t="s">
        <v>1</v>
      </c>
      <c r="I1" s="227" t="s">
        <v>1</v>
      </c>
      <c r="J1" s="227" t="s">
        <v>1</v>
      </c>
      <c r="K1" s="227" t="s">
        <v>1</v>
      </c>
      <c r="L1" s="227" t="s">
        <v>1</v>
      </c>
      <c r="M1" s="227" t="s">
        <v>1</v>
      </c>
      <c r="N1" s="227" t="s">
        <v>1</v>
      </c>
      <c r="O1" s="227" t="s">
        <v>1</v>
      </c>
      <c r="P1" s="227" t="s">
        <v>1</v>
      </c>
      <c r="Q1" s="231" t="s">
        <v>593</v>
      </c>
      <c r="R1" s="231" t="s">
        <v>595</v>
      </c>
      <c r="S1" s="227" t="s">
        <v>1</v>
      </c>
      <c r="T1" s="227" t="s">
        <v>1</v>
      </c>
      <c r="U1" s="227" t="s">
        <v>1</v>
      </c>
      <c r="V1" s="227" t="s">
        <v>1</v>
      </c>
      <c r="W1" s="227" t="s">
        <v>1</v>
      </c>
      <c r="X1" s="227" t="s">
        <v>1</v>
      </c>
      <c r="Y1" s="235" t="s">
        <v>606</v>
      </c>
      <c r="Z1" s="236" t="s">
        <v>322</v>
      </c>
    </row>
    <row r="2" spans="1:29" ht="15.75" x14ac:dyDescent="0.25">
      <c r="A2" s="227" t="s">
        <v>2</v>
      </c>
      <c r="B2" s="144" t="s">
        <v>17</v>
      </c>
      <c r="C2" s="144" t="s">
        <v>216</v>
      </c>
      <c r="D2" s="144" t="s">
        <v>333</v>
      </c>
      <c r="E2" s="144" t="s">
        <v>333</v>
      </c>
      <c r="F2" s="214" t="s">
        <v>529</v>
      </c>
      <c r="G2" s="225" t="s">
        <v>575</v>
      </c>
      <c r="H2" s="228">
        <v>42755</v>
      </c>
      <c r="I2" s="228">
        <f>H2+14</f>
        <v>42769</v>
      </c>
      <c r="J2" s="228">
        <f>I2+7</f>
        <v>42776</v>
      </c>
      <c r="K2" s="228">
        <f>J2+7</f>
        <v>42783</v>
      </c>
      <c r="L2" s="228">
        <f>K2+14</f>
        <v>42797</v>
      </c>
      <c r="M2" s="228">
        <f>L2+7</f>
        <v>42804</v>
      </c>
      <c r="N2" s="228">
        <f>M2+7</f>
        <v>42811</v>
      </c>
      <c r="O2" s="228">
        <f>N2+7</f>
        <v>42818</v>
      </c>
      <c r="P2" s="228">
        <f>O2+14</f>
        <v>42832</v>
      </c>
      <c r="Q2" s="228">
        <f>P2+6</f>
        <v>42838</v>
      </c>
      <c r="R2" s="228">
        <f>Q2+6</f>
        <v>42844</v>
      </c>
      <c r="S2" s="228">
        <f>R2+9</f>
        <v>42853</v>
      </c>
      <c r="T2" s="228">
        <f t="shared" ref="T2:Y2" si="0">S2+7</f>
        <v>42860</v>
      </c>
      <c r="U2" s="228">
        <f t="shared" si="0"/>
        <v>42867</v>
      </c>
      <c r="V2" s="228">
        <f t="shared" si="0"/>
        <v>42874</v>
      </c>
      <c r="W2" s="228">
        <f t="shared" si="0"/>
        <v>42881</v>
      </c>
      <c r="X2" s="228">
        <f t="shared" si="0"/>
        <v>42888</v>
      </c>
      <c r="Y2" s="234">
        <f t="shared" si="0"/>
        <v>42895</v>
      </c>
      <c r="Z2" s="237">
        <f t="shared" ref="Z2" si="1">Y2+7</f>
        <v>42902</v>
      </c>
    </row>
    <row r="3" spans="1:29" x14ac:dyDescent="0.25">
      <c r="A3" s="12" t="s">
        <v>15</v>
      </c>
      <c r="B3" s="38">
        <v>40664</v>
      </c>
      <c r="C3" s="38">
        <v>41061</v>
      </c>
      <c r="D3" s="161">
        <v>41426</v>
      </c>
      <c r="E3" s="161">
        <v>41791</v>
      </c>
      <c r="F3" s="161">
        <v>42186</v>
      </c>
      <c r="G3" s="161"/>
      <c r="H3" s="192" t="s">
        <v>585</v>
      </c>
      <c r="I3" s="192"/>
      <c r="J3" s="192"/>
      <c r="K3" s="192"/>
      <c r="L3" s="192"/>
      <c r="M3" s="192"/>
      <c r="N3" s="192">
        <v>12</v>
      </c>
      <c r="O3" s="192">
        <v>11</v>
      </c>
      <c r="P3" s="192">
        <v>9</v>
      </c>
      <c r="Q3" s="192">
        <v>8</v>
      </c>
      <c r="R3" s="192">
        <v>7</v>
      </c>
      <c r="S3" s="192">
        <v>6</v>
      </c>
      <c r="T3" s="192">
        <v>5</v>
      </c>
      <c r="U3" s="192">
        <v>4</v>
      </c>
      <c r="V3" s="192">
        <v>3</v>
      </c>
      <c r="W3" s="192">
        <v>2</v>
      </c>
      <c r="X3" s="192">
        <v>1</v>
      </c>
      <c r="Y3" s="192"/>
      <c r="Z3" s="192"/>
      <c r="AA3" t="s">
        <v>586</v>
      </c>
    </row>
    <row r="4" spans="1:29" x14ac:dyDescent="0.25">
      <c r="A4" s="3" t="s">
        <v>531</v>
      </c>
      <c r="B4" s="40">
        <v>549</v>
      </c>
      <c r="C4" s="40">
        <v>496</v>
      </c>
      <c r="D4" s="162">
        <v>439</v>
      </c>
      <c r="E4" s="162">
        <v>444</v>
      </c>
      <c r="F4" s="14">
        <v>391</v>
      </c>
      <c r="G4" s="193">
        <v>373</v>
      </c>
      <c r="H4" s="193">
        <v>434</v>
      </c>
      <c r="I4" s="193">
        <v>434</v>
      </c>
      <c r="J4" s="193">
        <v>434</v>
      </c>
      <c r="K4" s="193">
        <v>434</v>
      </c>
      <c r="L4" s="193">
        <v>434</v>
      </c>
      <c r="M4" s="193">
        <v>434</v>
      </c>
      <c r="N4" s="193">
        <v>434</v>
      </c>
      <c r="O4" s="193">
        <v>434</v>
      </c>
      <c r="P4" s="193">
        <v>434</v>
      </c>
      <c r="Q4" s="193">
        <v>434</v>
      </c>
      <c r="R4" s="193">
        <v>434</v>
      </c>
      <c r="S4" s="193">
        <v>434</v>
      </c>
      <c r="T4" s="193">
        <v>434</v>
      </c>
      <c r="U4" s="193">
        <v>434</v>
      </c>
      <c r="V4" s="193">
        <v>434</v>
      </c>
      <c r="W4" s="193">
        <v>434</v>
      </c>
      <c r="X4" s="193">
        <v>434</v>
      </c>
      <c r="Y4" s="193">
        <v>434</v>
      </c>
      <c r="Z4" s="193">
        <v>434</v>
      </c>
      <c r="AA4" s="207">
        <f>434-373</f>
        <v>61</v>
      </c>
      <c r="AB4" t="s">
        <v>493</v>
      </c>
    </row>
    <row r="5" spans="1:29" x14ac:dyDescent="0.25">
      <c r="A5" s="3" t="s">
        <v>532</v>
      </c>
      <c r="B5" s="40"/>
      <c r="C5" s="40"/>
      <c r="D5" s="162"/>
      <c r="E5" s="162">
        <v>174</v>
      </c>
      <c r="F5" s="14">
        <v>174</v>
      </c>
      <c r="G5" s="193">
        <v>97</v>
      </c>
      <c r="H5" s="193">
        <v>103</v>
      </c>
      <c r="I5" s="193">
        <v>103</v>
      </c>
      <c r="J5" s="193">
        <v>103</v>
      </c>
      <c r="K5" s="193">
        <v>103</v>
      </c>
      <c r="L5" s="193">
        <v>103</v>
      </c>
      <c r="M5" s="193">
        <v>103</v>
      </c>
      <c r="N5" s="193">
        <v>103</v>
      </c>
      <c r="O5" s="193">
        <v>103</v>
      </c>
      <c r="P5" s="193">
        <v>103</v>
      </c>
      <c r="Q5" s="193">
        <v>103</v>
      </c>
      <c r="R5" s="193">
        <v>103</v>
      </c>
      <c r="S5" s="193">
        <v>103</v>
      </c>
      <c r="T5" s="193">
        <v>103</v>
      </c>
      <c r="U5" s="193">
        <v>103</v>
      </c>
      <c r="V5" s="193">
        <v>103</v>
      </c>
      <c r="W5" s="193">
        <v>103</v>
      </c>
      <c r="X5" s="193">
        <v>103</v>
      </c>
      <c r="Y5" s="193">
        <v>103</v>
      </c>
      <c r="Z5" s="193">
        <v>103</v>
      </c>
      <c r="AA5" s="207">
        <f>103-97</f>
        <v>6</v>
      </c>
      <c r="AB5" t="s">
        <v>493</v>
      </c>
    </row>
    <row r="6" spans="1:29" x14ac:dyDescent="0.25">
      <c r="A6" s="3" t="s">
        <v>25</v>
      </c>
      <c r="B6" s="40">
        <v>358</v>
      </c>
      <c r="C6" s="40">
        <v>359</v>
      </c>
      <c r="D6" s="162">
        <v>373</v>
      </c>
      <c r="E6" s="162"/>
      <c r="F6" s="14"/>
      <c r="G6" s="193"/>
      <c r="H6" s="193" t="s">
        <v>584</v>
      </c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t="s">
        <v>583</v>
      </c>
    </row>
    <row r="7" spans="1:29" x14ac:dyDescent="0.25">
      <c r="A7" s="1" t="s">
        <v>3</v>
      </c>
      <c r="B7" s="39">
        <v>801</v>
      </c>
      <c r="C7" s="39"/>
      <c r="D7" s="163"/>
      <c r="E7" s="163"/>
      <c r="F7" s="2"/>
      <c r="G7" s="165"/>
      <c r="H7" s="229" t="s">
        <v>577</v>
      </c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t="s">
        <v>603</v>
      </c>
    </row>
    <row r="8" spans="1:29" x14ac:dyDescent="0.25">
      <c r="A8" s="3" t="s">
        <v>533</v>
      </c>
      <c r="B8" s="40">
        <v>937</v>
      </c>
      <c r="C8" s="40">
        <v>989</v>
      </c>
      <c r="D8" s="162">
        <v>827</v>
      </c>
      <c r="E8" s="162">
        <v>861</v>
      </c>
      <c r="F8" s="4">
        <f>639+137+51+45</f>
        <v>872</v>
      </c>
      <c r="G8" s="169">
        <v>890</v>
      </c>
      <c r="H8" s="169">
        <f>288-8</f>
        <v>280</v>
      </c>
      <c r="I8" s="169">
        <f>307-11</f>
        <v>296</v>
      </c>
      <c r="J8" s="169">
        <f>313</f>
        <v>313</v>
      </c>
      <c r="K8" s="169">
        <f>323</f>
        <v>323</v>
      </c>
      <c r="L8" s="169">
        <f>327</f>
        <v>327</v>
      </c>
      <c r="M8" s="169">
        <f>418-M11-M13</f>
        <v>371</v>
      </c>
      <c r="N8" s="169">
        <f>444-N11-N13</f>
        <v>393</v>
      </c>
      <c r="O8" s="169">
        <f>518-O11-O13</f>
        <v>435</v>
      </c>
      <c r="P8" s="169">
        <f>662-P11-P13</f>
        <v>534</v>
      </c>
      <c r="Q8" s="169">
        <f>769-Q11-Q13</f>
        <v>613</v>
      </c>
      <c r="R8" s="169">
        <f>75+3+137+543</f>
        <v>758</v>
      </c>
      <c r="S8" s="169">
        <v>786</v>
      </c>
      <c r="T8" s="169">
        <f>1071-245-5-T13</f>
        <v>806</v>
      </c>
      <c r="U8" s="169">
        <f>1094-265-U13</f>
        <v>812</v>
      </c>
      <c r="V8" s="169">
        <f>1113-265-V13</f>
        <v>830</v>
      </c>
      <c r="W8" s="169">
        <f>1139-265-W13</f>
        <v>856</v>
      </c>
      <c r="X8" s="169">
        <f>1140-265-X13</f>
        <v>857</v>
      </c>
      <c r="Y8" s="169">
        <f>1149-265-Y13</f>
        <v>866</v>
      </c>
      <c r="Z8" s="169">
        <f>2166-630-Z13</f>
        <v>1518</v>
      </c>
      <c r="AA8">
        <f>Z8-Y8</f>
        <v>652</v>
      </c>
      <c r="AB8">
        <v>823</v>
      </c>
    </row>
    <row r="9" spans="1:29" x14ac:dyDescent="0.25">
      <c r="A9" s="3" t="s">
        <v>534</v>
      </c>
      <c r="B9" s="40"/>
      <c r="C9" s="40"/>
      <c r="D9" s="162"/>
      <c r="E9" s="162"/>
      <c r="F9" s="4"/>
      <c r="G9" s="169">
        <v>170</v>
      </c>
      <c r="H9" s="169">
        <f>40-2</f>
        <v>38</v>
      </c>
      <c r="I9" s="169">
        <f>41-2</f>
        <v>39</v>
      </c>
      <c r="J9" s="169">
        <v>41</v>
      </c>
      <c r="K9" s="169">
        <v>41</v>
      </c>
      <c r="L9" s="169">
        <v>41</v>
      </c>
      <c r="M9" s="169">
        <v>47</v>
      </c>
      <c r="N9" s="169">
        <v>57</v>
      </c>
      <c r="O9" s="169">
        <f>65</f>
        <v>65</v>
      </c>
      <c r="P9" s="169">
        <f>86</f>
        <v>86</v>
      </c>
      <c r="Q9" s="169">
        <f>108</f>
        <v>108</v>
      </c>
      <c r="R9" s="169">
        <f>14+2+47+66</f>
        <v>129</v>
      </c>
      <c r="S9" s="169">
        <f>14+2+48+67</f>
        <v>131</v>
      </c>
      <c r="T9" s="169">
        <f>138-5</f>
        <v>133</v>
      </c>
      <c r="U9" s="169">
        <f>139-5</f>
        <v>134</v>
      </c>
      <c r="V9" s="169">
        <f>143-5</f>
        <v>138</v>
      </c>
      <c r="W9" s="169">
        <f>149-5</f>
        <v>144</v>
      </c>
      <c r="X9" s="169">
        <f>149-3</f>
        <v>146</v>
      </c>
      <c r="Y9" s="169">
        <f>149-3</f>
        <v>146</v>
      </c>
      <c r="Z9" s="169">
        <f>218-53</f>
        <v>165</v>
      </c>
      <c r="AA9">
        <f>Z9-Y9</f>
        <v>19</v>
      </c>
      <c r="AB9">
        <v>157</v>
      </c>
    </row>
    <row r="10" spans="1:29" x14ac:dyDescent="0.25">
      <c r="A10" s="3" t="s">
        <v>142</v>
      </c>
      <c r="B10" s="40"/>
      <c r="C10" s="40">
        <v>105</v>
      </c>
      <c r="D10" s="162">
        <v>176</v>
      </c>
      <c r="E10" s="162"/>
      <c r="F10" s="4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83">
        <f>Z8+Z9+Z13</f>
        <v>1701</v>
      </c>
      <c r="AB10" s="83" t="s">
        <v>580</v>
      </c>
      <c r="AC10" s="61"/>
    </row>
    <row r="11" spans="1:29" x14ac:dyDescent="0.25">
      <c r="A11" s="3" t="s">
        <v>161</v>
      </c>
      <c r="B11" s="40">
        <v>938</v>
      </c>
      <c r="C11" s="40">
        <v>861</v>
      </c>
      <c r="D11" s="162">
        <v>814</v>
      </c>
      <c r="E11" s="162">
        <v>531</v>
      </c>
      <c r="F11" s="4">
        <v>471</v>
      </c>
      <c r="G11" s="169">
        <v>518</v>
      </c>
      <c r="H11" s="169">
        <v>10</v>
      </c>
      <c r="I11" s="169">
        <v>12</v>
      </c>
      <c r="J11" s="169">
        <v>13</v>
      </c>
      <c r="K11" s="169">
        <v>20</v>
      </c>
      <c r="L11" s="169">
        <v>29</v>
      </c>
      <c r="M11" s="169">
        <v>46</v>
      </c>
      <c r="N11" s="169">
        <v>50</v>
      </c>
      <c r="O11" s="169">
        <v>82</v>
      </c>
      <c r="P11" s="169">
        <v>127</v>
      </c>
      <c r="Q11" s="169">
        <v>154</v>
      </c>
      <c r="R11" s="169">
        <f>177+1+14</f>
        <v>192</v>
      </c>
      <c r="S11" s="169">
        <f>225+3</f>
        <v>228</v>
      </c>
      <c r="T11" s="169">
        <f>245+5</f>
        <v>250</v>
      </c>
      <c r="U11" s="169">
        <f>260+5+69</f>
        <v>334</v>
      </c>
      <c r="V11" s="169">
        <f>260+5+137</f>
        <v>402</v>
      </c>
      <c r="W11" s="169">
        <f>260+5+196+5</f>
        <v>466</v>
      </c>
      <c r="X11" s="169">
        <f>237+7+4+233</f>
        <v>481</v>
      </c>
      <c r="Y11" s="169">
        <f>568+18</f>
        <v>586</v>
      </c>
      <c r="Z11" s="169">
        <v>630</v>
      </c>
      <c r="AA11">
        <v>1066</v>
      </c>
      <c r="AB11">
        <v>408</v>
      </c>
    </row>
    <row r="12" spans="1:29" x14ac:dyDescent="0.25">
      <c r="A12" s="3" t="s">
        <v>5</v>
      </c>
      <c r="B12" s="40"/>
      <c r="C12" s="40">
        <v>284</v>
      </c>
      <c r="D12" s="162">
        <v>226</v>
      </c>
      <c r="E12" s="162">
        <v>169</v>
      </c>
      <c r="F12" s="4">
        <v>218</v>
      </c>
      <c r="G12" s="169">
        <v>172</v>
      </c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>
        <v>200</v>
      </c>
      <c r="S12" s="169"/>
      <c r="T12" s="169"/>
      <c r="U12" s="169"/>
      <c r="V12" s="169"/>
      <c r="W12" s="169">
        <f>169+32</f>
        <v>201</v>
      </c>
      <c r="X12" s="169">
        <f>169+32</f>
        <v>201</v>
      </c>
      <c r="Y12" s="169">
        <f>169+32+11</f>
        <v>212</v>
      </c>
      <c r="Z12" s="169">
        <f>169+32+11</f>
        <v>212</v>
      </c>
    </row>
    <row r="13" spans="1:29" x14ac:dyDescent="0.25">
      <c r="A13" s="3" t="s">
        <v>307</v>
      </c>
      <c r="B13" s="40"/>
      <c r="C13" s="40"/>
      <c r="D13" s="162">
        <v>35</v>
      </c>
      <c r="E13" s="162">
        <v>23</v>
      </c>
      <c r="F13" s="4">
        <v>44</v>
      </c>
      <c r="G13" s="169">
        <v>24</v>
      </c>
      <c r="H13" s="169"/>
      <c r="I13" s="169">
        <v>1</v>
      </c>
      <c r="J13" s="169">
        <v>1</v>
      </c>
      <c r="K13" s="169">
        <v>1</v>
      </c>
      <c r="L13" s="169">
        <v>1</v>
      </c>
      <c r="M13" s="169">
        <v>1</v>
      </c>
      <c r="N13" s="169">
        <v>1</v>
      </c>
      <c r="O13" s="169">
        <v>1</v>
      </c>
      <c r="P13" s="169">
        <v>1</v>
      </c>
      <c r="Q13" s="169">
        <v>2</v>
      </c>
      <c r="R13" s="169">
        <v>2</v>
      </c>
      <c r="S13" s="169">
        <v>15</v>
      </c>
      <c r="T13" s="169">
        <v>15</v>
      </c>
      <c r="U13" s="169">
        <v>17</v>
      </c>
      <c r="V13" s="169">
        <v>18</v>
      </c>
      <c r="W13" s="169">
        <v>18</v>
      </c>
      <c r="X13" s="169">
        <v>18</v>
      </c>
      <c r="Y13" s="169">
        <v>18</v>
      </c>
      <c r="Z13" s="169">
        <v>18</v>
      </c>
      <c r="AB13" s="7"/>
    </row>
    <row r="14" spans="1:29" x14ac:dyDescent="0.25">
      <c r="A14" s="3" t="s">
        <v>479</v>
      </c>
      <c r="B14" s="40"/>
      <c r="C14" s="40"/>
      <c r="D14" s="162">
        <v>27</v>
      </c>
      <c r="E14" s="162">
        <v>56</v>
      </c>
      <c r="F14" s="4">
        <f>26+17</f>
        <v>43</v>
      </c>
      <c r="G14" s="169">
        <v>52</v>
      </c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>
        <v>47</v>
      </c>
      <c r="S14" s="169"/>
      <c r="T14" s="169"/>
      <c r="U14" s="169"/>
      <c r="V14" s="169"/>
      <c r="W14" s="169">
        <f>42+5</f>
        <v>47</v>
      </c>
      <c r="X14" s="169">
        <f>42+5</f>
        <v>47</v>
      </c>
      <c r="Y14" s="169">
        <f>42+5</f>
        <v>47</v>
      </c>
      <c r="Z14" s="169">
        <f>42+5</f>
        <v>47</v>
      </c>
      <c r="AA14" s="257">
        <f>534+40</f>
        <v>574</v>
      </c>
    </row>
    <row r="15" spans="1:29" x14ac:dyDescent="0.25">
      <c r="A15" s="3" t="s">
        <v>321</v>
      </c>
      <c r="B15" s="40"/>
      <c r="C15" s="40">
        <f>13+6</f>
        <v>19</v>
      </c>
      <c r="D15" s="162">
        <v>39</v>
      </c>
      <c r="E15" s="162">
        <v>40</v>
      </c>
      <c r="F15" s="4">
        <v>12</v>
      </c>
      <c r="G15" s="169">
        <v>7</v>
      </c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>
        <f>3+9</f>
        <v>12</v>
      </c>
      <c r="W15" s="169">
        <f>3+9</f>
        <v>12</v>
      </c>
      <c r="X15" s="169">
        <f>3+9</f>
        <v>12</v>
      </c>
      <c r="Y15" s="169">
        <v>29</v>
      </c>
      <c r="Z15" s="169">
        <v>29</v>
      </c>
      <c r="AB15">
        <f>645</f>
        <v>645</v>
      </c>
    </row>
    <row r="16" spans="1:29" x14ac:dyDescent="0.25">
      <c r="A16" s="3" t="s">
        <v>162</v>
      </c>
      <c r="B16" s="40"/>
      <c r="C16" s="40">
        <v>693</v>
      </c>
      <c r="D16" s="162">
        <v>885</v>
      </c>
      <c r="E16" s="162">
        <v>821</v>
      </c>
      <c r="F16" s="4">
        <v>809</v>
      </c>
      <c r="G16" s="169">
        <v>847</v>
      </c>
      <c r="H16" s="169"/>
      <c r="I16" s="169"/>
      <c r="J16" s="169"/>
      <c r="K16" s="169">
        <v>3</v>
      </c>
      <c r="L16" s="169">
        <v>3</v>
      </c>
      <c r="M16" s="169">
        <v>3</v>
      </c>
      <c r="N16" s="169">
        <v>3</v>
      </c>
      <c r="O16" s="169">
        <v>3</v>
      </c>
      <c r="P16" s="169">
        <v>3</v>
      </c>
      <c r="Q16" s="169">
        <v>3</v>
      </c>
      <c r="R16" s="169">
        <v>3</v>
      </c>
      <c r="S16" s="169">
        <v>4</v>
      </c>
      <c r="T16" s="169">
        <v>5</v>
      </c>
      <c r="U16" s="169">
        <v>5</v>
      </c>
      <c r="V16" s="169">
        <v>7</v>
      </c>
      <c r="W16" s="169">
        <v>710</v>
      </c>
      <c r="X16" s="169">
        <v>710</v>
      </c>
      <c r="Y16" s="169">
        <f>710+12</f>
        <v>722</v>
      </c>
      <c r="Z16" s="169">
        <v>1027</v>
      </c>
      <c r="AB16" s="7">
        <v>66</v>
      </c>
    </row>
    <row r="17" spans="1:28" x14ac:dyDescent="0.25">
      <c r="A17" s="3" t="s">
        <v>313</v>
      </c>
      <c r="B17" s="40"/>
      <c r="C17" s="40"/>
      <c r="D17" s="162">
        <v>156</v>
      </c>
      <c r="E17" s="162">
        <v>98</v>
      </c>
      <c r="F17" s="4"/>
      <c r="G17" s="169">
        <v>85</v>
      </c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>
        <v>258</v>
      </c>
      <c r="V17" s="169">
        <v>258</v>
      </c>
      <c r="W17" s="233">
        <f>275+158</f>
        <v>433</v>
      </c>
      <c r="X17" s="169">
        <f>275+158</f>
        <v>433</v>
      </c>
      <c r="Y17" s="169">
        <f>275+158</f>
        <v>433</v>
      </c>
      <c r="Z17" s="233">
        <v>452</v>
      </c>
      <c r="AA17" t="s">
        <v>596</v>
      </c>
      <c r="AB17" s="83"/>
    </row>
    <row r="18" spans="1:28" x14ac:dyDescent="0.25">
      <c r="A18" s="1" t="s">
        <v>217</v>
      </c>
      <c r="B18" s="41">
        <f>SUM(B8:B15)</f>
        <v>1875</v>
      </c>
      <c r="C18" s="41">
        <f>SUM(C8:C17)</f>
        <v>2951</v>
      </c>
      <c r="D18" s="164">
        <f>SUM(D8:D17)</f>
        <v>3185</v>
      </c>
      <c r="E18" s="164">
        <f>SUM(E8:E17)</f>
        <v>2599</v>
      </c>
      <c r="F18" s="5">
        <f>SUM(F8:F16)</f>
        <v>2469</v>
      </c>
      <c r="G18" s="5">
        <f>SUM(G8:G16)</f>
        <v>2680</v>
      </c>
      <c r="H18" s="194">
        <f t="shared" ref="H18:I18" si="2">SUM(H8:H15)</f>
        <v>328</v>
      </c>
      <c r="I18" s="194">
        <f t="shared" si="2"/>
        <v>348</v>
      </c>
      <c r="J18" s="194">
        <f t="shared" ref="J18:K18" si="3">SUM(J8:J15)</f>
        <v>368</v>
      </c>
      <c r="K18" s="194">
        <f t="shared" si="3"/>
        <v>385</v>
      </c>
      <c r="L18" s="194">
        <f t="shared" ref="L18:M18" si="4">SUM(L8:L15)</f>
        <v>398</v>
      </c>
      <c r="M18" s="194">
        <f t="shared" si="4"/>
        <v>465</v>
      </c>
      <c r="N18" s="194">
        <f t="shared" ref="N18:O18" si="5">SUM(N8:N15)</f>
        <v>501</v>
      </c>
      <c r="O18" s="194">
        <f t="shared" si="5"/>
        <v>583</v>
      </c>
      <c r="P18" s="194">
        <f t="shared" ref="P18:Q18" si="6">SUM(P8:P15)</f>
        <v>748</v>
      </c>
      <c r="Q18" s="194">
        <f t="shared" si="6"/>
        <v>877</v>
      </c>
      <c r="R18" s="194">
        <f t="shared" ref="R18" si="7">SUM(R8:R15)</f>
        <v>1328</v>
      </c>
      <c r="S18" s="194">
        <f>SUM(S8:S16)</f>
        <v>1164</v>
      </c>
      <c r="T18" s="194">
        <f>SUM(T8:T16)</f>
        <v>1209</v>
      </c>
      <c r="U18" s="194">
        <f>SUM(U8:U16)</f>
        <v>1302</v>
      </c>
      <c r="V18" s="194">
        <f>SUM(V8:V16)</f>
        <v>1407</v>
      </c>
      <c r="W18" s="194">
        <f>SUM(W8:W15)</f>
        <v>1744</v>
      </c>
      <c r="X18" s="194">
        <f>SUM(X8:X15)</f>
        <v>1762</v>
      </c>
      <c r="Y18" s="194">
        <f>SUM(Y8:Y15)</f>
        <v>1904</v>
      </c>
      <c r="Z18" s="194">
        <f>SUM(Z8:Z16)</f>
        <v>3646</v>
      </c>
    </row>
    <row r="19" spans="1:28" x14ac:dyDescent="0.25">
      <c r="A19" s="6"/>
      <c r="B19" s="40"/>
      <c r="C19" s="97"/>
      <c r="D19" s="97"/>
      <c r="E19" s="97"/>
      <c r="F19" s="4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</row>
    <row r="20" spans="1:28" x14ac:dyDescent="0.25">
      <c r="A20" s="1" t="s">
        <v>8</v>
      </c>
      <c r="B20" s="2"/>
      <c r="C20" s="2"/>
      <c r="D20" s="165"/>
      <c r="E20" s="165"/>
      <c r="F20" s="2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44"/>
    </row>
    <row r="21" spans="1:28" x14ac:dyDescent="0.25">
      <c r="A21" s="54" t="s">
        <v>536</v>
      </c>
      <c r="B21" s="42" t="s">
        <v>218</v>
      </c>
      <c r="C21" s="53">
        <f>167086</f>
        <v>167086</v>
      </c>
      <c r="D21" s="166"/>
      <c r="E21" s="166">
        <v>182937.25</v>
      </c>
      <c r="F21" s="53">
        <f>208533.9/1.2</f>
        <v>173778.25</v>
      </c>
      <c r="G21" s="166">
        <v>165483</v>
      </c>
      <c r="H21" s="166">
        <f>41727/1.2</f>
        <v>34772.5</v>
      </c>
      <c r="I21" s="166">
        <f>44753/1.2</f>
        <v>37294.166666666672</v>
      </c>
      <c r="J21" s="166">
        <f>46971/1.2</f>
        <v>39142.5</v>
      </c>
      <c r="K21" s="166">
        <f>48223/1.2</f>
        <v>40185.833333333336</v>
      </c>
      <c r="L21" s="166">
        <f>50407/1.2</f>
        <v>42005.833333333336</v>
      </c>
      <c r="M21" s="166">
        <f>64750/1.2</f>
        <v>53958.333333333336</v>
      </c>
      <c r="N21" s="166">
        <f>70537.2/1.2</f>
        <v>58781</v>
      </c>
      <c r="O21" s="166">
        <f>82758/1.2</f>
        <v>68965</v>
      </c>
      <c r="P21" s="166">
        <f>105840/1.2</f>
        <v>88200</v>
      </c>
      <c r="Q21" s="166">
        <f>127386/1.2</f>
        <v>106155</v>
      </c>
      <c r="R21" s="166">
        <f>164442/1.2</f>
        <v>137035</v>
      </c>
      <c r="S21" s="166">
        <f>171091.6/1.2</f>
        <v>142576.33333333334</v>
      </c>
      <c r="T21" s="166">
        <f>174783.6/1.2</f>
        <v>145653</v>
      </c>
      <c r="U21" s="166">
        <f>178560.6/1.2</f>
        <v>148800.5</v>
      </c>
      <c r="V21" s="166">
        <f>184385.6/1.2</f>
        <v>153654.66666666669</v>
      </c>
      <c r="W21" s="166">
        <f>193115.6/1.2</f>
        <v>160929.66666666669</v>
      </c>
      <c r="X21" s="166">
        <f>199222.6/1.2</f>
        <v>166018.83333333334</v>
      </c>
      <c r="Y21" s="166">
        <f>199222.6/1.2</f>
        <v>166018.83333333334</v>
      </c>
      <c r="Z21" s="166">
        <f>220993.6/1.2</f>
        <v>184161.33333333334</v>
      </c>
      <c r="AA21" s="44">
        <f>(Z21/AA10)*1.2</f>
        <v>129.91981187536743</v>
      </c>
      <c r="AB21" t="s">
        <v>587</v>
      </c>
    </row>
    <row r="22" spans="1:28" x14ac:dyDescent="0.25">
      <c r="A22" s="54" t="s">
        <v>537</v>
      </c>
      <c r="B22" s="42"/>
      <c r="C22" s="53"/>
      <c r="D22" s="166"/>
      <c r="E22" s="166"/>
      <c r="F22" s="53"/>
      <c r="G22" s="166">
        <v>29416.58</v>
      </c>
      <c r="H22" s="166" t="s">
        <v>578</v>
      </c>
      <c r="I22" s="166" t="s">
        <v>578</v>
      </c>
      <c r="J22" s="166" t="s">
        <v>578</v>
      </c>
      <c r="K22" s="166" t="s">
        <v>578</v>
      </c>
      <c r="L22" s="166" t="s">
        <v>578</v>
      </c>
      <c r="M22" s="166" t="s">
        <v>578</v>
      </c>
      <c r="N22" s="166" t="s">
        <v>578</v>
      </c>
      <c r="O22" s="166" t="s">
        <v>578</v>
      </c>
      <c r="P22" s="166" t="s">
        <v>578</v>
      </c>
      <c r="Q22" s="166" t="s">
        <v>578</v>
      </c>
      <c r="R22" s="166" t="s">
        <v>578</v>
      </c>
      <c r="S22" s="166" t="s">
        <v>578</v>
      </c>
      <c r="T22" s="166" t="s">
        <v>578</v>
      </c>
      <c r="U22" s="166" t="s">
        <v>578</v>
      </c>
      <c r="V22" s="166" t="s">
        <v>578</v>
      </c>
      <c r="W22" s="166" t="s">
        <v>578</v>
      </c>
      <c r="X22" s="166" t="s">
        <v>578</v>
      </c>
      <c r="Y22" s="166" t="s">
        <v>578</v>
      </c>
      <c r="Z22" s="166" t="s">
        <v>578</v>
      </c>
    </row>
    <row r="23" spans="1:28" x14ac:dyDescent="0.25">
      <c r="A23" s="8" t="s">
        <v>268</v>
      </c>
      <c r="B23" s="42"/>
      <c r="C23" s="42">
        <v>10980</v>
      </c>
      <c r="D23" s="167"/>
      <c r="E23" s="167">
        <v>10330</v>
      </c>
      <c r="F23" s="9">
        <v>12355</v>
      </c>
      <c r="G23" s="195">
        <v>21375</v>
      </c>
      <c r="H23" s="195">
        <f>24195+1190</f>
        <v>25385</v>
      </c>
      <c r="I23" s="195">
        <f>33195+1190</f>
        <v>34385</v>
      </c>
      <c r="J23" s="195">
        <f>33195+1190</f>
        <v>34385</v>
      </c>
      <c r="K23" s="195">
        <f>33195+1190</f>
        <v>34385</v>
      </c>
      <c r="L23" s="195">
        <f>33195+1190</f>
        <v>34385</v>
      </c>
      <c r="M23" s="195">
        <f>27995+1190</f>
        <v>29185</v>
      </c>
      <c r="N23" s="195">
        <f>27995+1785</f>
        <v>29780</v>
      </c>
      <c r="O23" s="195">
        <f>27995+2380</f>
        <v>30375</v>
      </c>
      <c r="P23" s="195">
        <f>27995+2580</f>
        <v>30575</v>
      </c>
      <c r="Q23" s="195">
        <f t="shared" ref="Q23:W23" si="8">31990+2580</f>
        <v>34570</v>
      </c>
      <c r="R23" s="195">
        <f t="shared" si="8"/>
        <v>34570</v>
      </c>
      <c r="S23" s="195">
        <f t="shared" si="8"/>
        <v>34570</v>
      </c>
      <c r="T23" s="195">
        <f t="shared" si="8"/>
        <v>34570</v>
      </c>
      <c r="U23" s="195">
        <f t="shared" si="8"/>
        <v>34570</v>
      </c>
      <c r="V23" s="195">
        <f t="shared" si="8"/>
        <v>34570</v>
      </c>
      <c r="W23" s="195">
        <f t="shared" si="8"/>
        <v>34570</v>
      </c>
      <c r="X23" s="195">
        <f>31990+1985</f>
        <v>33975</v>
      </c>
      <c r="Y23" s="195">
        <f>31990+1985</f>
        <v>33975</v>
      </c>
      <c r="Z23" s="195">
        <f>31990+1985</f>
        <v>33975</v>
      </c>
    </row>
    <row r="24" spans="1:28" x14ac:dyDescent="0.25">
      <c r="A24" s="8" t="s">
        <v>11</v>
      </c>
      <c r="B24" s="42">
        <v>478526</v>
      </c>
      <c r="C24" s="42">
        <v>490077</v>
      </c>
      <c r="D24" s="167"/>
      <c r="E24" s="167">
        <v>496920</v>
      </c>
      <c r="F24" s="9">
        <v>523710</v>
      </c>
      <c r="G24" s="195">
        <v>531204</v>
      </c>
      <c r="H24" s="195">
        <v>472400</v>
      </c>
      <c r="I24" s="195">
        <v>492510</v>
      </c>
      <c r="J24" s="195">
        <v>484710</v>
      </c>
      <c r="K24" s="195">
        <v>487582</v>
      </c>
      <c r="L24" s="195">
        <v>497722</v>
      </c>
      <c r="M24" s="195">
        <v>519452</v>
      </c>
      <c r="N24" s="195">
        <v>522002</v>
      </c>
      <c r="O24" s="195">
        <v>532072</v>
      </c>
      <c r="P24" s="195">
        <v>553362</v>
      </c>
      <c r="Q24" s="195">
        <v>559672</v>
      </c>
      <c r="R24" s="195">
        <v>559672</v>
      </c>
      <c r="S24" s="195">
        <v>562297</v>
      </c>
      <c r="T24" s="195">
        <v>563677</v>
      </c>
      <c r="U24" s="195">
        <v>571637</v>
      </c>
      <c r="V24" s="195">
        <v>574397</v>
      </c>
      <c r="W24" s="195">
        <f>574397+2000</f>
        <v>576397</v>
      </c>
      <c r="X24" s="195">
        <f>578892</f>
        <v>578892</v>
      </c>
      <c r="Y24" s="195">
        <f>578892</f>
        <v>578892</v>
      </c>
      <c r="Z24" s="195">
        <f>578892</f>
        <v>578892</v>
      </c>
    </row>
    <row r="25" spans="1:28" x14ac:dyDescent="0.25">
      <c r="A25" s="8" t="s">
        <v>548</v>
      </c>
      <c r="B25" s="42">
        <v>0</v>
      </c>
      <c r="C25" s="42">
        <v>18790</v>
      </c>
      <c r="D25" s="167"/>
      <c r="E25" s="167">
        <v>8630</v>
      </c>
      <c r="F25" s="9">
        <v>26970</v>
      </c>
      <c r="G25" s="195">
        <v>20335</v>
      </c>
      <c r="H25" s="195">
        <f>9495+2890+2480</f>
        <v>14865</v>
      </c>
      <c r="I25" s="195">
        <f>9495+2890+2480</f>
        <v>14865</v>
      </c>
      <c r="J25" s="195">
        <f>17382+2890+2480</f>
        <v>22752</v>
      </c>
      <c r="K25" s="195">
        <f>17382+2890+2480</f>
        <v>22752</v>
      </c>
      <c r="L25" s="195">
        <f>17382+2890+2480</f>
        <v>22752</v>
      </c>
      <c r="M25" s="195">
        <f>17382+2890+3870</f>
        <v>24142</v>
      </c>
      <c r="N25" s="195">
        <f>17382+2890+4020</f>
        <v>24292</v>
      </c>
      <c r="O25" s="195">
        <f>17382+2890+4020</f>
        <v>24292</v>
      </c>
      <c r="P25" s="195">
        <f>24382+2890+4020</f>
        <v>31292</v>
      </c>
      <c r="Q25" s="195">
        <f>33877+4975+4715</f>
        <v>43567</v>
      </c>
      <c r="R25" s="195">
        <f>33877+4975+4715</f>
        <v>43567</v>
      </c>
      <c r="S25" s="195">
        <f>33877+4975+4865</f>
        <v>43717</v>
      </c>
      <c r="T25" s="195">
        <f>33877+4975+4865</f>
        <v>43717</v>
      </c>
      <c r="U25" s="195">
        <f>33877+5870+4865</f>
        <v>44612</v>
      </c>
      <c r="V25" s="195">
        <f>33877+5870+4865</f>
        <v>44612</v>
      </c>
      <c r="W25" s="195">
        <f>33877+5870+4865</f>
        <v>44612</v>
      </c>
      <c r="X25" s="195">
        <f>33877+5870+4170</f>
        <v>43917</v>
      </c>
      <c r="Y25" s="195">
        <f>33877+5870+4170</f>
        <v>43917</v>
      </c>
      <c r="Z25" s="195">
        <f>33877+5870+4170</f>
        <v>43917</v>
      </c>
    </row>
    <row r="26" spans="1:28" x14ac:dyDescent="0.25">
      <c r="A26" s="215" t="s">
        <v>582</v>
      </c>
      <c r="B26" s="216"/>
      <c r="C26" s="216"/>
      <c r="D26" s="217"/>
      <c r="E26" s="217"/>
      <c r="F26" s="216"/>
      <c r="G26" s="217">
        <f>G21+G23+G24+G25</f>
        <v>738397</v>
      </c>
      <c r="H26" s="217">
        <f t="shared" ref="H26:M26" si="9">H23+H24+H25</f>
        <v>512650</v>
      </c>
      <c r="I26" s="217">
        <f t="shared" si="9"/>
        <v>541760</v>
      </c>
      <c r="J26" s="217">
        <f t="shared" si="9"/>
        <v>541847</v>
      </c>
      <c r="K26" s="230">
        <f t="shared" si="9"/>
        <v>544719</v>
      </c>
      <c r="L26" s="230">
        <f t="shared" si="9"/>
        <v>554859</v>
      </c>
      <c r="M26" s="230">
        <f t="shared" si="9"/>
        <v>572779</v>
      </c>
      <c r="N26" s="230">
        <f t="shared" ref="N26:O26" si="10">N23+N24+N25</f>
        <v>576074</v>
      </c>
      <c r="O26" s="230">
        <f t="shared" si="10"/>
        <v>586739</v>
      </c>
      <c r="P26" s="230">
        <f t="shared" ref="P26:Q26" si="11">P23+P24+P25</f>
        <v>615229</v>
      </c>
      <c r="Q26" s="230">
        <f t="shared" si="11"/>
        <v>637809</v>
      </c>
      <c r="R26" s="230">
        <f t="shared" ref="R26" si="12">R23+R24+R25</f>
        <v>637809</v>
      </c>
      <c r="S26" s="230">
        <f t="shared" ref="S26:T26" si="13">S23+S24+S25</f>
        <v>640584</v>
      </c>
      <c r="T26" s="230">
        <f t="shared" si="13"/>
        <v>641964</v>
      </c>
      <c r="U26" s="230">
        <f t="shared" ref="U26:V26" si="14">U23+U24+U25</f>
        <v>650819</v>
      </c>
      <c r="V26" s="230">
        <f t="shared" si="14"/>
        <v>653579</v>
      </c>
      <c r="W26" s="230">
        <f t="shared" ref="W26:X26" si="15">W23+W24+W25</f>
        <v>655579</v>
      </c>
      <c r="X26" s="230">
        <f t="shared" si="15"/>
        <v>656784</v>
      </c>
      <c r="Y26" s="230">
        <f t="shared" ref="Y26:Z26" si="16">Y23+Y24+Y25</f>
        <v>656784</v>
      </c>
      <c r="Z26" s="230">
        <f t="shared" si="16"/>
        <v>656784</v>
      </c>
      <c r="AA26" s="132" t="s">
        <v>607</v>
      </c>
    </row>
    <row r="27" spans="1:28" x14ac:dyDescent="0.25">
      <c r="A27" s="8" t="s">
        <v>539</v>
      </c>
      <c r="B27" s="42"/>
      <c r="C27" s="42"/>
      <c r="D27" s="167"/>
      <c r="E27" s="167"/>
      <c r="F27" s="9"/>
      <c r="G27" s="195">
        <v>63330</v>
      </c>
      <c r="H27" s="195" t="s">
        <v>581</v>
      </c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72"/>
    </row>
    <row r="28" spans="1:28" x14ac:dyDescent="0.25">
      <c r="A28" s="8" t="s">
        <v>542</v>
      </c>
      <c r="B28" s="42"/>
      <c r="C28" s="42"/>
      <c r="D28" s="167"/>
      <c r="E28" s="167"/>
      <c r="F28" s="9"/>
      <c r="G28" s="195">
        <v>21000</v>
      </c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</row>
    <row r="29" spans="1:28" x14ac:dyDescent="0.25">
      <c r="A29" s="8" t="s">
        <v>544</v>
      </c>
      <c r="B29" s="42"/>
      <c r="C29" s="42"/>
      <c r="D29" s="167"/>
      <c r="E29" s="167"/>
      <c r="F29" s="9"/>
      <c r="G29" s="195">
        <v>2870</v>
      </c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</row>
    <row r="30" spans="1:28" x14ac:dyDescent="0.25">
      <c r="A30" s="215" t="s">
        <v>541</v>
      </c>
      <c r="B30" s="216"/>
      <c r="C30" s="216"/>
      <c r="D30" s="217"/>
      <c r="E30" s="217"/>
      <c r="F30" s="216"/>
      <c r="G30" s="217">
        <f>G22+G27+G28+G29</f>
        <v>116616.58</v>
      </c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</row>
    <row r="31" spans="1:28" x14ac:dyDescent="0.25">
      <c r="A31" s="1" t="s">
        <v>13</v>
      </c>
      <c r="B31" s="43">
        <f>SUM(B21:B25)</f>
        <v>478526</v>
      </c>
      <c r="C31" s="10">
        <f>SUM(C21:C25)</f>
        <v>686933</v>
      </c>
      <c r="D31" s="168"/>
      <c r="E31" s="10">
        <f>SUM(E21:E25)</f>
        <v>698817.25</v>
      </c>
      <c r="F31" s="10">
        <f>SUM(F21:F25)</f>
        <v>736813.25</v>
      </c>
      <c r="G31" s="168">
        <f t="shared" ref="G31" si="17">G26+G30</f>
        <v>855013.58</v>
      </c>
      <c r="H31" s="168">
        <f t="shared" ref="H31:M31" si="18">SUM(H21:H25)</f>
        <v>547422.5</v>
      </c>
      <c r="I31" s="168">
        <f t="shared" si="18"/>
        <v>579054.16666666663</v>
      </c>
      <c r="J31" s="168">
        <f t="shared" si="18"/>
        <v>580989.5</v>
      </c>
      <c r="K31" s="168">
        <f t="shared" si="18"/>
        <v>584904.83333333337</v>
      </c>
      <c r="L31" s="168">
        <f t="shared" si="18"/>
        <v>596864.83333333337</v>
      </c>
      <c r="M31" s="168">
        <f t="shared" si="18"/>
        <v>626737.33333333337</v>
      </c>
      <c r="N31" s="168">
        <f t="shared" ref="N31:O31" si="19">SUM(N21:N25)</f>
        <v>634855</v>
      </c>
      <c r="O31" s="168">
        <f t="shared" si="19"/>
        <v>655704</v>
      </c>
      <c r="P31" s="168">
        <f t="shared" ref="P31:Q31" si="20">SUM(P21:P25)</f>
        <v>703429</v>
      </c>
      <c r="Q31" s="168">
        <f t="shared" si="20"/>
        <v>743964</v>
      </c>
      <c r="R31" s="168">
        <f t="shared" ref="R31:S31" si="21">SUM(R21:R25)</f>
        <v>774844</v>
      </c>
      <c r="S31" s="168">
        <f t="shared" si="21"/>
        <v>783160.33333333337</v>
      </c>
      <c r="T31" s="168">
        <f t="shared" ref="T31:U31" si="22">SUM(T21:T25)</f>
        <v>787617</v>
      </c>
      <c r="U31" s="168">
        <f t="shared" si="22"/>
        <v>799619.5</v>
      </c>
      <c r="V31" s="168">
        <f t="shared" ref="V31:W31" si="23">SUM(V21:V25)</f>
        <v>807233.66666666674</v>
      </c>
      <c r="W31" s="168">
        <f t="shared" si="23"/>
        <v>816508.66666666674</v>
      </c>
      <c r="X31" s="168">
        <f t="shared" ref="X31:Y31" si="24">SUM(X21:X25)</f>
        <v>822802.83333333337</v>
      </c>
      <c r="Y31" s="168">
        <f t="shared" si="24"/>
        <v>822802.83333333337</v>
      </c>
      <c r="Z31" s="168">
        <f t="shared" ref="Z31" si="25">SUM(Z21:Z25)</f>
        <v>840945.33333333337</v>
      </c>
      <c r="AA31" s="44">
        <v>857013</v>
      </c>
      <c r="AB31" t="s">
        <v>605</v>
      </c>
    </row>
    <row r="32" spans="1:28" x14ac:dyDescent="0.25">
      <c r="A32" s="6"/>
      <c r="B32" s="65"/>
      <c r="C32" s="98"/>
      <c r="D32" s="98"/>
      <c r="E32" s="98"/>
      <c r="F32" s="4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232">
        <f>Y31-AA31</f>
        <v>-34210.166666666628</v>
      </c>
    </row>
    <row r="33" spans="1:27" x14ac:dyDescent="0.25">
      <c r="A33" s="1" t="s">
        <v>14</v>
      </c>
      <c r="B33" s="2"/>
      <c r="C33" s="2"/>
      <c r="D33" s="165"/>
      <c r="E33" s="165"/>
      <c r="F33" s="2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7" x14ac:dyDescent="0.25">
      <c r="A34" s="3" t="s">
        <v>594</v>
      </c>
      <c r="B34" s="4">
        <v>0</v>
      </c>
      <c r="C34" s="4">
        <v>82</v>
      </c>
      <c r="D34" s="169">
        <v>81</v>
      </c>
      <c r="E34" s="169">
        <v>342</v>
      </c>
      <c r="F34" s="4"/>
      <c r="G34" s="169"/>
      <c r="H34" s="169"/>
      <c r="I34" s="169"/>
      <c r="J34" s="169"/>
      <c r="K34" s="169"/>
      <c r="L34" s="169"/>
      <c r="M34" s="169"/>
      <c r="N34" s="169"/>
      <c r="O34" s="169"/>
      <c r="P34" s="169">
        <v>25</v>
      </c>
      <c r="Q34" s="169">
        <v>30</v>
      </c>
      <c r="R34" s="169">
        <v>30</v>
      </c>
      <c r="S34" s="169">
        <f>35+4+7</f>
        <v>46</v>
      </c>
      <c r="T34" s="169">
        <f>35+4+7</f>
        <v>46</v>
      </c>
      <c r="U34" s="169">
        <f>33+4+7</f>
        <v>44</v>
      </c>
      <c r="V34" s="169">
        <f>33+5+7</f>
        <v>45</v>
      </c>
      <c r="W34" s="169">
        <v>85</v>
      </c>
      <c r="X34" s="169">
        <v>85</v>
      </c>
      <c r="Y34" s="169">
        <v>85</v>
      </c>
      <c r="Z34" s="169">
        <f>38+2+4+6+1</f>
        <v>51</v>
      </c>
    </row>
    <row r="35" spans="1:27" x14ac:dyDescent="0.25">
      <c r="A35" s="3" t="s">
        <v>592</v>
      </c>
      <c r="B35" s="4">
        <v>0</v>
      </c>
      <c r="C35" s="4">
        <v>78</v>
      </c>
      <c r="D35" s="169">
        <v>94</v>
      </c>
      <c r="E35" s="169"/>
      <c r="F35" s="4"/>
      <c r="G35" s="169"/>
      <c r="H35" s="169"/>
      <c r="I35" s="169"/>
      <c r="J35" s="169"/>
      <c r="K35" s="169"/>
      <c r="L35" s="169"/>
      <c r="M35" s="169"/>
      <c r="N35" s="169"/>
      <c r="O35" s="169"/>
      <c r="P35" s="169">
        <v>7</v>
      </c>
      <c r="Q35" s="169">
        <v>16</v>
      </c>
      <c r="R35" s="169">
        <v>23</v>
      </c>
      <c r="S35" s="169">
        <v>31</v>
      </c>
      <c r="T35" s="169">
        <v>31</v>
      </c>
      <c r="U35" s="169">
        <v>31</v>
      </c>
      <c r="V35" s="169">
        <v>36</v>
      </c>
      <c r="W35" s="169">
        <v>59</v>
      </c>
      <c r="X35" s="169">
        <v>59</v>
      </c>
      <c r="Y35" s="169">
        <v>59</v>
      </c>
      <c r="Z35" s="169">
        <f>45+1+33</f>
        <v>79</v>
      </c>
    </row>
    <row r="36" spans="1:27" x14ac:dyDescent="0.25">
      <c r="A36" s="6" t="s">
        <v>604</v>
      </c>
      <c r="B36" s="7"/>
      <c r="C36" s="7"/>
      <c r="D36" s="7"/>
      <c r="E36" s="7"/>
      <c r="F36" s="4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>
        <v>7</v>
      </c>
      <c r="V36" s="169">
        <v>63</v>
      </c>
      <c r="W36" s="169">
        <v>87</v>
      </c>
      <c r="X36" s="169">
        <v>87</v>
      </c>
      <c r="Y36" s="169">
        <v>87</v>
      </c>
      <c r="Z36" s="169">
        <f>26+50+22+1</f>
        <v>99</v>
      </c>
    </row>
    <row r="37" spans="1:27" x14ac:dyDescent="0.25">
      <c r="A37" s="11"/>
      <c r="B37" s="7"/>
      <c r="C37" s="7"/>
      <c r="D37" s="7"/>
      <c r="E37" s="7"/>
      <c r="F37" s="14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</row>
    <row r="38" spans="1:27" x14ac:dyDescent="0.25">
      <c r="A38" s="12" t="s">
        <v>21</v>
      </c>
      <c r="B38" s="2"/>
      <c r="C38" s="2"/>
      <c r="D38" s="165"/>
      <c r="E38" s="165"/>
      <c r="F38" s="13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</row>
    <row r="39" spans="1:27" x14ac:dyDescent="0.25">
      <c r="A39" s="3" t="s">
        <v>22</v>
      </c>
      <c r="B39" s="4"/>
      <c r="C39" s="4">
        <v>85</v>
      </c>
      <c r="D39" s="169">
        <v>30</v>
      </c>
      <c r="E39" s="169">
        <v>76</v>
      </c>
      <c r="F39" s="4">
        <f>57+6</f>
        <v>63</v>
      </c>
      <c r="G39" s="169">
        <v>49</v>
      </c>
      <c r="H39" s="193">
        <v>18</v>
      </c>
      <c r="I39" s="193">
        <v>18</v>
      </c>
      <c r="J39" s="193">
        <v>19</v>
      </c>
      <c r="K39" s="193">
        <v>19</v>
      </c>
      <c r="L39" s="193">
        <v>19</v>
      </c>
      <c r="M39" s="193">
        <v>25</v>
      </c>
      <c r="N39" s="193">
        <v>28</v>
      </c>
      <c r="O39" s="193">
        <v>28</v>
      </c>
      <c r="P39" s="193">
        <v>36</v>
      </c>
      <c r="Q39" s="193">
        <v>41</v>
      </c>
      <c r="R39" s="193">
        <v>63</v>
      </c>
      <c r="S39" s="193">
        <v>64</v>
      </c>
      <c r="T39" s="193">
        <v>64</v>
      </c>
      <c r="U39" s="193">
        <v>66</v>
      </c>
      <c r="V39" s="193">
        <v>67</v>
      </c>
      <c r="W39" s="193">
        <v>79</v>
      </c>
      <c r="X39" s="193">
        <v>79</v>
      </c>
      <c r="Y39" s="193">
        <v>79</v>
      </c>
      <c r="Z39" s="193">
        <v>79</v>
      </c>
    </row>
    <row r="40" spans="1:27" x14ac:dyDescent="0.25">
      <c r="A40" s="3" t="s">
        <v>308</v>
      </c>
      <c r="B40" s="4"/>
      <c r="C40" s="4">
        <v>388</v>
      </c>
      <c r="D40" s="169">
        <v>196</v>
      </c>
      <c r="E40" s="169">
        <v>370</v>
      </c>
      <c r="F40" s="4">
        <f>245+159</f>
        <v>404</v>
      </c>
      <c r="G40" s="169">
        <v>274</v>
      </c>
      <c r="H40" s="193">
        <v>149</v>
      </c>
      <c r="I40" s="193">
        <v>153</v>
      </c>
      <c r="J40" s="193">
        <v>154</v>
      </c>
      <c r="K40" s="193">
        <v>165</v>
      </c>
      <c r="L40" s="193">
        <v>165</v>
      </c>
      <c r="M40" s="193">
        <v>178</v>
      </c>
      <c r="N40" s="193">
        <v>190</v>
      </c>
      <c r="O40" s="193">
        <v>190</v>
      </c>
      <c r="P40" s="193">
        <v>276</v>
      </c>
      <c r="Q40" s="193">
        <v>303</v>
      </c>
      <c r="R40" s="193">
        <v>359</v>
      </c>
      <c r="S40" s="193">
        <v>377</v>
      </c>
      <c r="T40" s="193">
        <v>377</v>
      </c>
      <c r="U40" s="193">
        <v>403</v>
      </c>
      <c r="V40" s="193">
        <v>405</v>
      </c>
      <c r="W40" s="193">
        <v>477</v>
      </c>
      <c r="X40" s="193">
        <v>477</v>
      </c>
      <c r="Y40" s="193">
        <v>477</v>
      </c>
      <c r="Z40" s="193">
        <v>477</v>
      </c>
    </row>
    <row r="41" spans="1:27" x14ac:dyDescent="0.25">
      <c r="A41" s="3" t="s">
        <v>23</v>
      </c>
      <c r="B41" s="4"/>
      <c r="C41" s="4">
        <v>46</v>
      </c>
      <c r="D41" s="169">
        <v>15</v>
      </c>
      <c r="E41" s="169">
        <v>29</v>
      </c>
      <c r="F41" s="14">
        <f>15+13</f>
        <v>28</v>
      </c>
      <c r="G41" s="193">
        <v>31</v>
      </c>
      <c r="H41" s="193">
        <v>10</v>
      </c>
      <c r="I41" s="193">
        <v>10</v>
      </c>
      <c r="J41" s="193">
        <v>10</v>
      </c>
      <c r="K41" s="193">
        <v>10</v>
      </c>
      <c r="L41" s="193">
        <v>10</v>
      </c>
      <c r="M41" s="193">
        <v>10</v>
      </c>
      <c r="N41" s="193">
        <v>13</v>
      </c>
      <c r="O41" s="193">
        <v>13</v>
      </c>
      <c r="P41" s="193">
        <v>21</v>
      </c>
      <c r="Q41" s="193">
        <v>32</v>
      </c>
      <c r="R41" s="193">
        <v>38</v>
      </c>
      <c r="S41" s="193">
        <v>38</v>
      </c>
      <c r="T41" s="193">
        <v>38</v>
      </c>
      <c r="U41" s="193">
        <v>38</v>
      </c>
      <c r="V41" s="193">
        <v>38</v>
      </c>
      <c r="W41" s="193">
        <v>43</v>
      </c>
      <c r="X41" s="193">
        <v>43</v>
      </c>
      <c r="Y41" s="193">
        <v>43</v>
      </c>
      <c r="Z41" s="193">
        <v>43</v>
      </c>
    </row>
    <row r="42" spans="1:27" x14ac:dyDescent="0.25">
      <c r="A42" s="3" t="s">
        <v>219</v>
      </c>
      <c r="B42" s="4"/>
      <c r="C42" s="4"/>
      <c r="D42" s="169">
        <v>88</v>
      </c>
      <c r="E42" s="169">
        <v>224</v>
      </c>
      <c r="F42" s="204">
        <f>242+24</f>
        <v>266</v>
      </c>
      <c r="G42" s="226">
        <v>220</v>
      </c>
      <c r="H42" s="193">
        <v>72</v>
      </c>
      <c r="I42" s="193">
        <v>77</v>
      </c>
      <c r="J42" s="193">
        <v>82</v>
      </c>
      <c r="K42" s="193">
        <v>82</v>
      </c>
      <c r="L42" s="193">
        <v>82</v>
      </c>
      <c r="M42" s="193">
        <v>92</v>
      </c>
      <c r="N42" s="193">
        <v>99</v>
      </c>
      <c r="O42" s="193">
        <v>110</v>
      </c>
      <c r="P42" s="193">
        <f>132+3</f>
        <v>135</v>
      </c>
      <c r="Q42" s="193">
        <v>157</v>
      </c>
      <c r="R42" s="193">
        <v>215</v>
      </c>
      <c r="S42" s="193">
        <v>220</v>
      </c>
      <c r="T42" s="193">
        <v>220</v>
      </c>
      <c r="U42" s="193">
        <v>229</v>
      </c>
      <c r="V42" s="193">
        <v>233</v>
      </c>
      <c r="W42" s="193">
        <v>236</v>
      </c>
      <c r="X42" s="193">
        <v>236</v>
      </c>
      <c r="Y42" s="193">
        <v>236</v>
      </c>
      <c r="Z42" s="193">
        <v>236</v>
      </c>
    </row>
    <row r="43" spans="1:27" x14ac:dyDescent="0.25">
      <c r="A43" s="3" t="s">
        <v>468</v>
      </c>
      <c r="B43" s="4"/>
      <c r="C43" s="4">
        <v>717</v>
      </c>
      <c r="D43" s="169"/>
      <c r="E43" s="169">
        <v>699</v>
      </c>
      <c r="F43" s="4"/>
      <c r="G43" s="169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t="s">
        <v>588</v>
      </c>
    </row>
    <row r="44" spans="1:27" x14ac:dyDescent="0.25">
      <c r="A44" s="12" t="s">
        <v>24</v>
      </c>
      <c r="B44" s="2"/>
      <c r="C44" s="2"/>
      <c r="D44" s="165"/>
      <c r="E44" s="165"/>
      <c r="F44" s="13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</row>
    <row r="45" spans="1:27" x14ac:dyDescent="0.25">
      <c r="A45" s="3" t="s">
        <v>408</v>
      </c>
      <c r="B45" s="4"/>
      <c r="C45" s="4">
        <v>232</v>
      </c>
      <c r="D45" s="169">
        <v>188</v>
      </c>
      <c r="E45" s="169">
        <v>259</v>
      </c>
      <c r="F45" s="4">
        <f>135+7+5+10+5+7+6+2+1+11+2+3+5+2</f>
        <v>201</v>
      </c>
      <c r="G45" s="169">
        <v>201</v>
      </c>
      <c r="H45" s="193">
        <f>49+3</f>
        <v>52</v>
      </c>
      <c r="I45" s="193">
        <f t="shared" ref="I45:O45" si="26">49+5</f>
        <v>54</v>
      </c>
      <c r="J45" s="193">
        <f t="shared" si="26"/>
        <v>54</v>
      </c>
      <c r="K45" s="193">
        <f t="shared" si="26"/>
        <v>54</v>
      </c>
      <c r="L45" s="193">
        <f t="shared" si="26"/>
        <v>54</v>
      </c>
      <c r="M45" s="193">
        <f t="shared" si="26"/>
        <v>54</v>
      </c>
      <c r="N45" s="193">
        <f t="shared" si="26"/>
        <v>54</v>
      </c>
      <c r="O45" s="193">
        <f t="shared" si="26"/>
        <v>54</v>
      </c>
      <c r="P45" s="193">
        <f>43+1+48+2+1+6+2</f>
        <v>103</v>
      </c>
      <c r="Q45" s="193">
        <f>43+1+48+2+1+6+2</f>
        <v>103</v>
      </c>
      <c r="R45" s="193">
        <v>165</v>
      </c>
      <c r="S45" s="193">
        <f>43+1+48+2+1+6+2</f>
        <v>103</v>
      </c>
      <c r="T45" s="193">
        <f>43+1+48+2+1+6+2</f>
        <v>103</v>
      </c>
      <c r="U45" s="193">
        <f>43+1+48+2+1+6+2</f>
        <v>103</v>
      </c>
      <c r="V45" s="193">
        <f>74+3+13+47+5+1+6+3+17+2+2</f>
        <v>173</v>
      </c>
      <c r="W45" s="193">
        <f>74+3+13+47+5+1+6+3+17+2+2</f>
        <v>173</v>
      </c>
      <c r="X45" s="193">
        <f>74+3+13+47+5+1+6+3+17+2+2</f>
        <v>173</v>
      </c>
      <c r="Y45" s="193">
        <f>74+3+13+47+5+1+6+3+17+2+2</f>
        <v>173</v>
      </c>
      <c r="Z45" s="193">
        <f>74+3+13+47+5+1+6+3+17+2+2</f>
        <v>173</v>
      </c>
    </row>
    <row r="46" spans="1:27" x14ac:dyDescent="0.25">
      <c r="A46" s="3" t="s">
        <v>407</v>
      </c>
      <c r="B46" s="4"/>
      <c r="C46" s="4">
        <v>194</v>
      </c>
      <c r="D46" s="169">
        <v>165</v>
      </c>
      <c r="E46" s="169">
        <v>168</v>
      </c>
      <c r="F46" s="14">
        <f>24+16+1+50+26+10+8+1+4+3+1</f>
        <v>144</v>
      </c>
      <c r="G46" s="193">
        <v>45</v>
      </c>
      <c r="H46" s="193">
        <f t="shared" ref="H46:O46" si="27">11+1</f>
        <v>12</v>
      </c>
      <c r="I46" s="193">
        <f t="shared" si="27"/>
        <v>12</v>
      </c>
      <c r="J46" s="193">
        <f t="shared" si="27"/>
        <v>12</v>
      </c>
      <c r="K46" s="193">
        <f t="shared" si="27"/>
        <v>12</v>
      </c>
      <c r="L46" s="193">
        <f t="shared" si="27"/>
        <v>12</v>
      </c>
      <c r="M46" s="193">
        <f t="shared" si="27"/>
        <v>12</v>
      </c>
      <c r="N46" s="193">
        <f t="shared" si="27"/>
        <v>12</v>
      </c>
      <c r="O46" s="193">
        <f t="shared" si="27"/>
        <v>12</v>
      </c>
      <c r="P46" s="193">
        <f>12+1+11+4+3+1+2</f>
        <v>34</v>
      </c>
      <c r="Q46" s="193">
        <f>12+1+11+4+3+1+2</f>
        <v>34</v>
      </c>
      <c r="R46" s="193">
        <v>59</v>
      </c>
      <c r="S46" s="193">
        <f>12+1+11+4+3+1+2</f>
        <v>34</v>
      </c>
      <c r="T46" s="193">
        <f>12+1+11+4+3+1+2</f>
        <v>34</v>
      </c>
      <c r="U46" s="193">
        <f>12+1+11+4+3+1+2</f>
        <v>34</v>
      </c>
      <c r="V46" s="193">
        <f>23+2+3+11+11+2+1+3</f>
        <v>56</v>
      </c>
      <c r="W46" s="193">
        <f>23+2+3+11+11+2+1+3</f>
        <v>56</v>
      </c>
      <c r="X46" s="193">
        <f>23+2+3+11+11+2+1+3</f>
        <v>56</v>
      </c>
      <c r="Y46" s="193">
        <f>23+2+3+11+11+2+1+3</f>
        <v>56</v>
      </c>
      <c r="Z46" s="193">
        <f>23+2+3+11+11+2+1+3</f>
        <v>56</v>
      </c>
    </row>
    <row r="47" spans="1:27" x14ac:dyDescent="0.25">
      <c r="A47" s="3" t="s">
        <v>589</v>
      </c>
      <c r="B47" s="4"/>
      <c r="C47" s="4">
        <v>277</v>
      </c>
      <c r="D47" s="169">
        <v>212</v>
      </c>
      <c r="E47" s="169">
        <v>313</v>
      </c>
      <c r="F47" s="4">
        <f>99+28+11+49+42+15+5+5+2+41+15+9+7+8+6+4+6+14+15+7+1</f>
        <v>389</v>
      </c>
      <c r="G47" s="169">
        <v>415</v>
      </c>
      <c r="H47" s="193">
        <v>230</v>
      </c>
      <c r="I47" s="193">
        <f t="shared" ref="I47:O47" si="28">231+6+1+5+2+2</f>
        <v>247</v>
      </c>
      <c r="J47" s="193">
        <f t="shared" si="28"/>
        <v>247</v>
      </c>
      <c r="K47" s="193">
        <f t="shared" si="28"/>
        <v>247</v>
      </c>
      <c r="L47" s="193">
        <f t="shared" si="28"/>
        <v>247</v>
      </c>
      <c r="M47" s="193">
        <f t="shared" si="28"/>
        <v>247</v>
      </c>
      <c r="N47" s="193">
        <f t="shared" si="28"/>
        <v>247</v>
      </c>
      <c r="O47" s="193">
        <f t="shared" si="28"/>
        <v>247</v>
      </c>
      <c r="P47" s="193">
        <f>62+6+15+239+6+16+27+14+10+14+2+2</f>
        <v>413</v>
      </c>
      <c r="Q47" s="193">
        <f>62+6+15+239+6+16+27+14+10+14+2+2</f>
        <v>413</v>
      </c>
      <c r="R47" s="193">
        <v>580</v>
      </c>
      <c r="S47" s="193">
        <f>62+6+15+239+6+16+27+14+10+14+2+2</f>
        <v>413</v>
      </c>
      <c r="T47" s="193">
        <f>62+6+15+239+6+16+27+14+10+14+2+2</f>
        <v>413</v>
      </c>
      <c r="U47" s="193">
        <f>62+6+15+239+6+16+27+14+10+14+2+2</f>
        <v>413</v>
      </c>
      <c r="V47" s="193">
        <f>12+102+19+14+243+32+16+73+4+30+2+18+2+31+2+4+10+7</f>
        <v>621</v>
      </c>
      <c r="W47" s="193">
        <f>12+102+19+14+243+32+16+73+4+30+2+18+2+31+2+4+10+7</f>
        <v>621</v>
      </c>
      <c r="X47" s="193">
        <f>12+102+19+14+243+32+16+73+4+30+2+18+2+31+2+4+10+7</f>
        <v>621</v>
      </c>
      <c r="Y47" s="193">
        <f>12+102+19+14+243+32+16+73+4+30+2+18+2+31+2+4+10+7</f>
        <v>621</v>
      </c>
      <c r="Z47" s="193">
        <f>12+102+19+14+243+32+16+73+4+30+2+18+2+31+2+4+10+7</f>
        <v>621</v>
      </c>
    </row>
    <row r="48" spans="1:27" x14ac:dyDescent="0.25">
      <c r="A48" s="3" t="s">
        <v>406</v>
      </c>
      <c r="B48" s="4"/>
      <c r="C48" s="4">
        <v>76</v>
      </c>
      <c r="D48" s="169">
        <v>59</v>
      </c>
      <c r="E48" s="169">
        <v>85</v>
      </c>
      <c r="F48" s="4">
        <f>24+5+1+13+13+1+3+4+4</f>
        <v>68</v>
      </c>
      <c r="G48" s="169">
        <v>59</v>
      </c>
      <c r="H48" s="193">
        <v>22</v>
      </c>
      <c r="I48" s="193">
        <f t="shared" ref="I48:O48" si="29">22+1</f>
        <v>23</v>
      </c>
      <c r="J48" s="193">
        <f t="shared" si="29"/>
        <v>23</v>
      </c>
      <c r="K48" s="193">
        <f t="shared" si="29"/>
        <v>23</v>
      </c>
      <c r="L48" s="193">
        <f t="shared" si="29"/>
        <v>23</v>
      </c>
      <c r="M48" s="193">
        <f t="shared" si="29"/>
        <v>23</v>
      </c>
      <c r="N48" s="193">
        <f t="shared" si="29"/>
        <v>23</v>
      </c>
      <c r="O48" s="193">
        <f t="shared" si="29"/>
        <v>23</v>
      </c>
      <c r="P48" s="193">
        <f>4+1+22+4+1</f>
        <v>32</v>
      </c>
      <c r="Q48" s="193">
        <f>4+1+22+4+1</f>
        <v>32</v>
      </c>
      <c r="R48" s="193">
        <v>53</v>
      </c>
      <c r="S48" s="193">
        <f>4+1+22+4+1</f>
        <v>32</v>
      </c>
      <c r="T48" s="193">
        <f>4+1+22+4+1</f>
        <v>32</v>
      </c>
      <c r="U48" s="193">
        <f>4+1+22+4+1</f>
        <v>32</v>
      </c>
      <c r="V48" s="193">
        <f>14+2+6+10+2+1+1+1+2+2</f>
        <v>41</v>
      </c>
      <c r="W48" s="193">
        <f>14+2+6+10+2+1+1+1+2+2</f>
        <v>41</v>
      </c>
      <c r="X48" s="193">
        <f>14+2+6+10+2+1+1+1+2+2</f>
        <v>41</v>
      </c>
      <c r="Y48" s="193">
        <f>14+2+6+10+2+1+1+1+2+2</f>
        <v>41</v>
      </c>
      <c r="Z48" s="193">
        <f>14+2+6+10+2+1+1+1+2+2</f>
        <v>41</v>
      </c>
    </row>
    <row r="49" spans="1:26" x14ac:dyDescent="0.25">
      <c r="A49" s="15" t="s">
        <v>597</v>
      </c>
      <c r="B49" s="7"/>
      <c r="C49" s="7"/>
      <c r="D49" s="7"/>
      <c r="E49" s="7"/>
      <c r="F49" s="4"/>
      <c r="G49" s="169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>
        <v>16</v>
      </c>
      <c r="S49" s="193"/>
      <c r="T49" s="193"/>
      <c r="U49" s="193"/>
      <c r="V49" s="193"/>
      <c r="W49" s="193"/>
      <c r="X49" s="193"/>
      <c r="Y49" s="193"/>
      <c r="Z49" s="193"/>
    </row>
    <row r="50" spans="1:26" x14ac:dyDescent="0.25">
      <c r="A50" s="15" t="s">
        <v>590</v>
      </c>
      <c r="B50" s="7"/>
      <c r="C50" s="7"/>
      <c r="D50" s="7"/>
      <c r="E50" s="7"/>
      <c r="F50" s="4"/>
      <c r="G50" s="169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</row>
    <row r="51" spans="1:26" x14ac:dyDescent="0.25">
      <c r="A51" s="15" t="s">
        <v>553</v>
      </c>
      <c r="B51" s="7"/>
      <c r="C51" s="7"/>
      <c r="D51" s="7"/>
      <c r="E51" s="7"/>
      <c r="F51" s="4"/>
      <c r="G51" s="169">
        <v>65</v>
      </c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>
        <v>4</v>
      </c>
      <c r="W51" s="193">
        <v>4</v>
      </c>
      <c r="X51" s="193">
        <v>4</v>
      </c>
      <c r="Y51" s="193">
        <v>4</v>
      </c>
      <c r="Z51" s="193">
        <v>4</v>
      </c>
    </row>
    <row r="52" spans="1:26" x14ac:dyDescent="0.25">
      <c r="A52" s="15" t="s">
        <v>194</v>
      </c>
      <c r="B52" s="7"/>
      <c r="C52" s="7">
        <v>385</v>
      </c>
      <c r="D52" s="7">
        <v>169</v>
      </c>
      <c r="E52" s="7">
        <v>369</v>
      </c>
      <c r="F52" s="14">
        <v>325</v>
      </c>
      <c r="G52" s="193"/>
      <c r="H52" s="193"/>
      <c r="I52" s="193"/>
      <c r="J52" s="193"/>
      <c r="K52" s="193"/>
      <c r="L52" s="193"/>
      <c r="M52" s="193"/>
      <c r="N52" s="193"/>
      <c r="O52" s="193"/>
      <c r="P52" s="193">
        <v>127</v>
      </c>
      <c r="Q52" s="193">
        <v>127</v>
      </c>
      <c r="R52" s="193">
        <v>192</v>
      </c>
      <c r="S52" s="193">
        <v>127</v>
      </c>
      <c r="T52" s="193">
        <v>127</v>
      </c>
      <c r="U52" s="193">
        <v>127</v>
      </c>
      <c r="V52" s="193">
        <v>266</v>
      </c>
      <c r="W52" s="193">
        <v>266</v>
      </c>
      <c r="X52" s="193">
        <v>266</v>
      </c>
      <c r="Y52" s="193">
        <v>266</v>
      </c>
      <c r="Z52" s="193">
        <v>266</v>
      </c>
    </row>
    <row r="53" spans="1:26" x14ac:dyDescent="0.25">
      <c r="A53" s="12" t="s">
        <v>567</v>
      </c>
      <c r="B53" s="7"/>
      <c r="C53" s="7"/>
      <c r="D53" s="7"/>
      <c r="E53" s="7"/>
    </row>
    <row r="54" spans="1:26" x14ac:dyDescent="0.25">
      <c r="A54" s="11" t="s">
        <v>568</v>
      </c>
      <c r="B54" s="7"/>
      <c r="C54" s="7"/>
      <c r="D54" s="7"/>
      <c r="E54" s="7"/>
      <c r="G54" s="7">
        <v>380</v>
      </c>
      <c r="H54">
        <v>117</v>
      </c>
      <c r="I54">
        <v>117</v>
      </c>
      <c r="J54">
        <v>11</v>
      </c>
      <c r="K54">
        <v>11</v>
      </c>
      <c r="L54">
        <v>11</v>
      </c>
      <c r="M54">
        <v>38</v>
      </c>
      <c r="N54">
        <v>163</v>
      </c>
      <c r="O54">
        <v>180</v>
      </c>
      <c r="P54">
        <v>231</v>
      </c>
      <c r="Q54">
        <v>262</v>
      </c>
      <c r="R54">
        <v>332</v>
      </c>
      <c r="S54">
        <v>335</v>
      </c>
      <c r="T54">
        <v>395</v>
      </c>
      <c r="U54">
        <v>424</v>
      </c>
      <c r="V54">
        <v>445</v>
      </c>
      <c r="W54">
        <v>445</v>
      </c>
      <c r="X54">
        <v>445</v>
      </c>
      <c r="Y54">
        <v>445</v>
      </c>
      <c r="Z54">
        <v>445</v>
      </c>
    </row>
    <row r="55" spans="1:26" x14ac:dyDescent="0.25">
      <c r="A55" s="11" t="s">
        <v>569</v>
      </c>
      <c r="B55" s="7"/>
      <c r="C55" s="7"/>
      <c r="D55" s="7"/>
      <c r="E55" s="7"/>
      <c r="G55" s="7">
        <v>336</v>
      </c>
      <c r="H55">
        <v>137</v>
      </c>
      <c r="I55">
        <v>137</v>
      </c>
      <c r="J55">
        <v>18</v>
      </c>
      <c r="K55">
        <v>18</v>
      </c>
      <c r="L55">
        <v>18</v>
      </c>
      <c r="M55">
        <v>154</v>
      </c>
      <c r="N55">
        <v>154</v>
      </c>
      <c r="O55" t="s">
        <v>591</v>
      </c>
      <c r="P55">
        <v>160</v>
      </c>
      <c r="Q55">
        <v>160</v>
      </c>
      <c r="R55">
        <v>312</v>
      </c>
      <c r="S55">
        <v>312</v>
      </c>
      <c r="T55">
        <v>347</v>
      </c>
      <c r="U55">
        <v>348</v>
      </c>
      <c r="V55" s="62">
        <v>362</v>
      </c>
      <c r="W55" s="62">
        <v>362</v>
      </c>
      <c r="X55" s="62">
        <v>362</v>
      </c>
      <c r="Y55" s="62">
        <v>362</v>
      </c>
      <c r="Z55" s="62">
        <v>362</v>
      </c>
    </row>
    <row r="56" spans="1:26" x14ac:dyDescent="0.25">
      <c r="A56" s="11" t="s">
        <v>570</v>
      </c>
      <c r="B56" s="7"/>
      <c r="C56" s="7"/>
      <c r="D56" s="7"/>
      <c r="E56" s="7"/>
      <c r="G56" s="7">
        <v>840</v>
      </c>
    </row>
    <row r="57" spans="1:26" x14ac:dyDescent="0.25">
      <c r="A57" s="11"/>
      <c r="B57" s="7"/>
      <c r="C57" s="7"/>
      <c r="D57" s="7"/>
      <c r="E57" s="7"/>
      <c r="F57" s="174"/>
      <c r="G57" s="174"/>
    </row>
    <row r="58" spans="1:26" x14ac:dyDescent="0.25">
      <c r="A58" s="173" t="s">
        <v>418</v>
      </c>
      <c r="B58" s="2"/>
      <c r="C58" s="2"/>
      <c r="D58" s="2"/>
      <c r="E58" s="2"/>
      <c r="F58" s="2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</row>
    <row r="59" spans="1:26" x14ac:dyDescent="0.25">
      <c r="B59" s="4"/>
      <c r="F59" s="14"/>
    </row>
    <row r="60" spans="1:26" x14ac:dyDescent="0.25">
      <c r="A60" t="s">
        <v>419</v>
      </c>
      <c r="B60" s="4"/>
      <c r="F60" s="14"/>
    </row>
    <row r="61" spans="1:26" x14ac:dyDescent="0.25">
      <c r="A61" t="s">
        <v>424</v>
      </c>
      <c r="B61" s="14"/>
      <c r="D61">
        <v>53</v>
      </c>
      <c r="E61">
        <v>64</v>
      </c>
      <c r="G61">
        <v>74</v>
      </c>
      <c r="H61">
        <v>19</v>
      </c>
      <c r="I61">
        <v>19</v>
      </c>
      <c r="J61">
        <v>21</v>
      </c>
      <c r="K61">
        <v>21</v>
      </c>
      <c r="L61">
        <v>21</v>
      </c>
      <c r="M61">
        <v>23</v>
      </c>
      <c r="N61">
        <v>23</v>
      </c>
      <c r="O61">
        <v>23</v>
      </c>
      <c r="P61">
        <v>37</v>
      </c>
      <c r="Q61">
        <v>42</v>
      </c>
      <c r="R61">
        <v>55</v>
      </c>
      <c r="S61">
        <v>37</v>
      </c>
      <c r="T61">
        <v>37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</row>
    <row r="62" spans="1:26" x14ac:dyDescent="0.25">
      <c r="A62" t="s">
        <v>425</v>
      </c>
      <c r="B62" s="14"/>
      <c r="D62">
        <v>35</v>
      </c>
      <c r="E62">
        <v>37</v>
      </c>
      <c r="G62">
        <v>65</v>
      </c>
      <c r="H62">
        <v>14</v>
      </c>
      <c r="I62">
        <v>14</v>
      </c>
      <c r="J62">
        <v>14</v>
      </c>
      <c r="K62">
        <v>14</v>
      </c>
      <c r="L62">
        <v>14</v>
      </c>
      <c r="M62">
        <v>14</v>
      </c>
      <c r="N62">
        <v>14</v>
      </c>
      <c r="O62">
        <v>14</v>
      </c>
      <c r="P62">
        <v>23</v>
      </c>
      <c r="Q62">
        <v>26</v>
      </c>
      <c r="R62">
        <v>34</v>
      </c>
      <c r="S62">
        <v>23</v>
      </c>
      <c r="T62">
        <v>23</v>
      </c>
      <c r="U62">
        <v>38</v>
      </c>
      <c r="V62">
        <v>38</v>
      </c>
      <c r="W62">
        <v>38</v>
      </c>
      <c r="X62">
        <v>38</v>
      </c>
      <c r="Y62">
        <v>38</v>
      </c>
      <c r="Z62">
        <v>38</v>
      </c>
    </row>
    <row r="63" spans="1:26" x14ac:dyDescent="0.25">
      <c r="A63" t="s">
        <v>426</v>
      </c>
      <c r="D63">
        <v>188</v>
      </c>
      <c r="E63">
        <v>299</v>
      </c>
      <c r="G63">
        <v>238</v>
      </c>
      <c r="H63">
        <v>30</v>
      </c>
      <c r="I63">
        <v>30</v>
      </c>
      <c r="J63">
        <v>32</v>
      </c>
      <c r="K63">
        <v>32</v>
      </c>
      <c r="L63">
        <v>32</v>
      </c>
      <c r="M63">
        <v>39</v>
      </c>
      <c r="N63">
        <v>39</v>
      </c>
      <c r="O63">
        <v>39</v>
      </c>
      <c r="P63">
        <v>65</v>
      </c>
      <c r="Q63">
        <v>77</v>
      </c>
      <c r="R63">
        <v>112</v>
      </c>
      <c r="S63">
        <v>65</v>
      </c>
      <c r="T63">
        <v>65</v>
      </c>
      <c r="U63">
        <v>122</v>
      </c>
      <c r="V63">
        <v>122</v>
      </c>
      <c r="W63">
        <v>122</v>
      </c>
      <c r="X63">
        <v>122</v>
      </c>
      <c r="Y63">
        <v>122</v>
      </c>
      <c r="Z63">
        <v>122</v>
      </c>
    </row>
    <row r="64" spans="1:26" x14ac:dyDescent="0.25">
      <c r="A64" t="s">
        <v>421</v>
      </c>
      <c r="B64" s="7"/>
      <c r="D64">
        <v>34</v>
      </c>
      <c r="E64">
        <v>38</v>
      </c>
      <c r="G64">
        <v>37</v>
      </c>
      <c r="H64">
        <v>1</v>
      </c>
      <c r="I64">
        <v>1</v>
      </c>
      <c r="J64">
        <v>1</v>
      </c>
      <c r="K64">
        <v>1</v>
      </c>
      <c r="L64">
        <v>1</v>
      </c>
      <c r="M64">
        <v>2</v>
      </c>
      <c r="N64">
        <v>2</v>
      </c>
      <c r="O64">
        <v>2</v>
      </c>
      <c r="P64">
        <v>6</v>
      </c>
      <c r="Q64">
        <v>14</v>
      </c>
      <c r="R64">
        <v>21</v>
      </c>
      <c r="S64">
        <v>6</v>
      </c>
      <c r="T64">
        <v>6</v>
      </c>
      <c r="U64">
        <v>25</v>
      </c>
      <c r="V64">
        <v>25</v>
      </c>
      <c r="W64">
        <v>25</v>
      </c>
      <c r="X64">
        <v>25</v>
      </c>
      <c r="Y64">
        <v>25</v>
      </c>
      <c r="Z64">
        <v>25</v>
      </c>
    </row>
    <row r="65" spans="1:26" x14ac:dyDescent="0.25">
      <c r="A65" t="s">
        <v>420</v>
      </c>
      <c r="B65" s="7"/>
      <c r="D65">
        <v>294</v>
      </c>
      <c r="E65">
        <v>305</v>
      </c>
      <c r="G65">
        <v>340</v>
      </c>
      <c r="H65">
        <v>62</v>
      </c>
      <c r="I65">
        <v>62</v>
      </c>
      <c r="J65">
        <v>66</v>
      </c>
      <c r="K65">
        <v>66</v>
      </c>
      <c r="L65">
        <v>66</v>
      </c>
      <c r="M65">
        <v>75</v>
      </c>
      <c r="N65">
        <v>75</v>
      </c>
      <c r="O65">
        <v>75</v>
      </c>
      <c r="P65">
        <v>144</v>
      </c>
      <c r="Q65">
        <v>165</v>
      </c>
      <c r="R65">
        <v>207</v>
      </c>
      <c r="S65">
        <v>144</v>
      </c>
      <c r="T65">
        <v>144</v>
      </c>
      <c r="U65">
        <v>236</v>
      </c>
      <c r="V65">
        <v>236</v>
      </c>
      <c r="W65">
        <v>236</v>
      </c>
      <c r="X65">
        <v>236</v>
      </c>
      <c r="Y65">
        <v>236</v>
      </c>
      <c r="Z65">
        <v>236</v>
      </c>
    </row>
    <row r="66" spans="1:26" x14ac:dyDescent="0.25">
      <c r="A66" t="s">
        <v>427</v>
      </c>
      <c r="D66">
        <v>216</v>
      </c>
      <c r="E66">
        <v>133</v>
      </c>
      <c r="G66">
        <v>151</v>
      </c>
      <c r="H66">
        <v>33</v>
      </c>
      <c r="I66">
        <v>37</v>
      </c>
      <c r="J66">
        <v>39</v>
      </c>
      <c r="K66">
        <v>39</v>
      </c>
      <c r="L66">
        <v>39</v>
      </c>
      <c r="M66">
        <v>49</v>
      </c>
      <c r="N66">
        <v>49</v>
      </c>
      <c r="O66">
        <v>49</v>
      </c>
      <c r="P66">
        <v>78</v>
      </c>
      <c r="Q66">
        <v>88</v>
      </c>
      <c r="R66">
        <v>98</v>
      </c>
      <c r="S66">
        <v>78</v>
      </c>
      <c r="T66">
        <v>78</v>
      </c>
      <c r="U66">
        <v>111</v>
      </c>
      <c r="V66">
        <v>111</v>
      </c>
      <c r="W66">
        <v>111</v>
      </c>
      <c r="X66">
        <v>111</v>
      </c>
      <c r="Y66">
        <v>111</v>
      </c>
      <c r="Z66">
        <v>111</v>
      </c>
    </row>
    <row r="67" spans="1:26" x14ac:dyDescent="0.25">
      <c r="A67" t="s">
        <v>428</v>
      </c>
      <c r="D67">
        <v>96</v>
      </c>
      <c r="E67">
        <v>113</v>
      </c>
      <c r="G67">
        <v>100</v>
      </c>
      <c r="H67">
        <v>49</v>
      </c>
      <c r="I67">
        <v>52</v>
      </c>
      <c r="J67">
        <v>53</v>
      </c>
      <c r="K67">
        <v>53</v>
      </c>
      <c r="L67">
        <v>53</v>
      </c>
      <c r="M67">
        <v>59</v>
      </c>
      <c r="N67">
        <v>59</v>
      </c>
      <c r="O67">
        <v>59</v>
      </c>
      <c r="P67">
        <v>77</v>
      </c>
      <c r="Q67">
        <v>89</v>
      </c>
      <c r="R67">
        <v>100</v>
      </c>
      <c r="S67">
        <v>77</v>
      </c>
      <c r="T67">
        <v>77</v>
      </c>
      <c r="U67">
        <v>110</v>
      </c>
      <c r="V67">
        <v>110</v>
      </c>
      <c r="W67">
        <v>110</v>
      </c>
      <c r="X67">
        <v>110</v>
      </c>
      <c r="Y67">
        <v>110</v>
      </c>
      <c r="Z67">
        <v>110</v>
      </c>
    </row>
    <row r="68" spans="1:26" x14ac:dyDescent="0.25">
      <c r="A68" t="s">
        <v>423</v>
      </c>
      <c r="D68">
        <v>83</v>
      </c>
      <c r="E68">
        <v>101</v>
      </c>
      <c r="G68">
        <v>119</v>
      </c>
      <c r="H68">
        <v>18</v>
      </c>
      <c r="I68">
        <v>18</v>
      </c>
      <c r="J68">
        <v>18</v>
      </c>
      <c r="K68">
        <v>18</v>
      </c>
      <c r="L68">
        <v>18</v>
      </c>
      <c r="M68">
        <v>21</v>
      </c>
      <c r="N68">
        <v>21</v>
      </c>
      <c r="O68">
        <v>21</v>
      </c>
      <c r="P68">
        <v>38</v>
      </c>
      <c r="Q68">
        <v>53</v>
      </c>
      <c r="R68">
        <v>70</v>
      </c>
      <c r="S68">
        <v>38</v>
      </c>
      <c r="T68">
        <v>38</v>
      </c>
      <c r="U68">
        <v>79</v>
      </c>
      <c r="V68">
        <v>79</v>
      </c>
      <c r="W68">
        <v>79</v>
      </c>
      <c r="X68">
        <v>79</v>
      </c>
      <c r="Y68">
        <v>79</v>
      </c>
      <c r="Z68">
        <v>79</v>
      </c>
    </row>
    <row r="69" spans="1:26" x14ac:dyDescent="0.25">
      <c r="A69" t="s">
        <v>422</v>
      </c>
      <c r="B69" s="7"/>
      <c r="D69">
        <v>156</v>
      </c>
      <c r="E69">
        <v>147</v>
      </c>
      <c r="G69">
        <v>163</v>
      </c>
      <c r="H69">
        <v>24</v>
      </c>
      <c r="I69">
        <v>25</v>
      </c>
      <c r="J69">
        <v>26</v>
      </c>
      <c r="K69">
        <v>26</v>
      </c>
      <c r="L69">
        <v>26</v>
      </c>
      <c r="M69">
        <v>41</v>
      </c>
      <c r="N69">
        <v>41</v>
      </c>
      <c r="O69">
        <v>41</v>
      </c>
      <c r="P69">
        <v>72</v>
      </c>
      <c r="Q69">
        <v>77</v>
      </c>
      <c r="R69">
        <v>85</v>
      </c>
      <c r="S69">
        <v>72</v>
      </c>
      <c r="T69">
        <v>72</v>
      </c>
      <c r="U69">
        <v>100</v>
      </c>
      <c r="V69">
        <v>100</v>
      </c>
      <c r="W69">
        <v>100</v>
      </c>
      <c r="X69">
        <v>100</v>
      </c>
      <c r="Y69">
        <v>100</v>
      </c>
      <c r="Z69">
        <v>100</v>
      </c>
    </row>
    <row r="71" spans="1:26" x14ac:dyDescent="0.25">
      <c r="A71" t="s">
        <v>429</v>
      </c>
      <c r="D71">
        <v>82</v>
      </c>
      <c r="E71">
        <v>71</v>
      </c>
      <c r="G71">
        <v>58</v>
      </c>
      <c r="H71">
        <v>8</v>
      </c>
      <c r="I71">
        <v>8</v>
      </c>
      <c r="J71">
        <v>9</v>
      </c>
      <c r="K71">
        <v>9</v>
      </c>
      <c r="L71">
        <v>9</v>
      </c>
      <c r="M71">
        <v>10</v>
      </c>
      <c r="N71">
        <v>10</v>
      </c>
      <c r="O71">
        <v>10</v>
      </c>
      <c r="P71">
        <v>20</v>
      </c>
      <c r="Q71">
        <v>25</v>
      </c>
      <c r="R71">
        <v>36</v>
      </c>
      <c r="S71">
        <v>20</v>
      </c>
      <c r="T71">
        <v>20</v>
      </c>
      <c r="U71">
        <v>45</v>
      </c>
      <c r="V71">
        <v>45</v>
      </c>
      <c r="W71">
        <v>45</v>
      </c>
      <c r="X71">
        <v>45</v>
      </c>
      <c r="Y71">
        <v>45</v>
      </c>
      <c r="Z71">
        <v>45</v>
      </c>
    </row>
    <row r="72" spans="1:26" x14ac:dyDescent="0.25">
      <c r="A72" s="11" t="s">
        <v>430</v>
      </c>
      <c r="D72">
        <v>30</v>
      </c>
      <c r="E72">
        <v>57</v>
      </c>
      <c r="G72">
        <v>40</v>
      </c>
      <c r="H72">
        <v>3</v>
      </c>
      <c r="I72">
        <v>3</v>
      </c>
      <c r="J72">
        <v>3</v>
      </c>
      <c r="K72">
        <v>3</v>
      </c>
      <c r="L72">
        <v>3</v>
      </c>
      <c r="M72">
        <v>3</v>
      </c>
      <c r="N72">
        <v>3</v>
      </c>
      <c r="O72">
        <v>3</v>
      </c>
      <c r="P72">
        <v>7</v>
      </c>
      <c r="Q72">
        <v>10</v>
      </c>
      <c r="R72">
        <v>19</v>
      </c>
      <c r="S72">
        <v>7</v>
      </c>
      <c r="T72">
        <v>7</v>
      </c>
      <c r="U72">
        <v>24</v>
      </c>
      <c r="V72">
        <v>24</v>
      </c>
      <c r="W72">
        <v>24</v>
      </c>
      <c r="X72">
        <v>24</v>
      </c>
      <c r="Y72">
        <v>24</v>
      </c>
      <c r="Z72">
        <v>24</v>
      </c>
    </row>
    <row r="73" spans="1:26" x14ac:dyDescent="0.25">
      <c r="A73" s="11" t="s">
        <v>431</v>
      </c>
      <c r="D73">
        <v>14</v>
      </c>
      <c r="E73">
        <v>24</v>
      </c>
      <c r="G73">
        <v>33</v>
      </c>
      <c r="H73">
        <v>6</v>
      </c>
      <c r="I73">
        <v>6</v>
      </c>
      <c r="J73">
        <v>6</v>
      </c>
      <c r="K73">
        <v>6</v>
      </c>
      <c r="L73">
        <v>6</v>
      </c>
      <c r="M73">
        <v>6</v>
      </c>
      <c r="N73">
        <v>6</v>
      </c>
      <c r="O73">
        <v>6</v>
      </c>
      <c r="P73">
        <v>14</v>
      </c>
      <c r="Q73">
        <v>16</v>
      </c>
      <c r="R73">
        <v>18</v>
      </c>
      <c r="S73">
        <v>14</v>
      </c>
      <c r="T73">
        <v>14</v>
      </c>
      <c r="U73">
        <v>20</v>
      </c>
      <c r="V73">
        <v>20</v>
      </c>
      <c r="W73">
        <v>20</v>
      </c>
      <c r="X73">
        <v>20</v>
      </c>
      <c r="Y73">
        <v>20</v>
      </c>
      <c r="Z73">
        <v>20</v>
      </c>
    </row>
    <row r="74" spans="1:26" x14ac:dyDescent="0.25">
      <c r="A74" t="s">
        <v>549</v>
      </c>
      <c r="G74">
        <v>9</v>
      </c>
      <c r="H74">
        <v>5</v>
      </c>
      <c r="I74">
        <v>5</v>
      </c>
      <c r="J74">
        <v>5</v>
      </c>
      <c r="K74">
        <v>5</v>
      </c>
      <c r="L74">
        <v>5</v>
      </c>
      <c r="M74">
        <v>5</v>
      </c>
      <c r="N74">
        <v>5</v>
      </c>
      <c r="O74">
        <v>5</v>
      </c>
      <c r="P74">
        <v>9</v>
      </c>
      <c r="Q74">
        <v>9</v>
      </c>
      <c r="R74">
        <v>13</v>
      </c>
      <c r="S74">
        <v>9</v>
      </c>
      <c r="T74">
        <v>9</v>
      </c>
      <c r="U74">
        <v>14</v>
      </c>
      <c r="V74">
        <v>14</v>
      </c>
      <c r="W74">
        <v>14</v>
      </c>
      <c r="X74">
        <v>14</v>
      </c>
      <c r="Y74">
        <v>14</v>
      </c>
      <c r="Z74">
        <v>14</v>
      </c>
    </row>
    <row r="75" spans="1:26" x14ac:dyDescent="0.25">
      <c r="A75" t="s">
        <v>432</v>
      </c>
      <c r="E75">
        <v>105</v>
      </c>
      <c r="G75">
        <v>91</v>
      </c>
      <c r="H75" s="83">
        <v>21</v>
      </c>
      <c r="I75" s="83">
        <v>21</v>
      </c>
      <c r="J75" s="83">
        <v>27</v>
      </c>
      <c r="K75" s="83">
        <v>27</v>
      </c>
      <c r="L75" s="83">
        <v>27</v>
      </c>
      <c r="M75" s="83">
        <v>33</v>
      </c>
      <c r="N75" s="83">
        <v>33</v>
      </c>
      <c r="O75" s="83">
        <v>33</v>
      </c>
      <c r="P75" s="83">
        <v>66</v>
      </c>
      <c r="Q75" s="83">
        <v>75</v>
      </c>
      <c r="R75" s="83">
        <v>83</v>
      </c>
      <c r="S75" s="83">
        <v>66</v>
      </c>
      <c r="T75" s="83">
        <v>66</v>
      </c>
      <c r="U75" s="83">
        <v>66</v>
      </c>
      <c r="V75" s="83">
        <v>66</v>
      </c>
      <c r="W75" s="83">
        <v>66</v>
      </c>
      <c r="X75" s="83">
        <v>66</v>
      </c>
      <c r="Y75" s="83">
        <v>66</v>
      </c>
      <c r="Z75" s="83">
        <v>66</v>
      </c>
    </row>
    <row r="76" spans="1:26" x14ac:dyDescent="0.25">
      <c r="A76" s="6" t="s">
        <v>579</v>
      </c>
      <c r="H76">
        <v>35</v>
      </c>
      <c r="I76">
        <v>35</v>
      </c>
      <c r="J76">
        <v>35</v>
      </c>
      <c r="K76">
        <v>35</v>
      </c>
      <c r="L76">
        <v>35</v>
      </c>
      <c r="M76">
        <v>35</v>
      </c>
      <c r="N76">
        <v>35</v>
      </c>
      <c r="O76">
        <v>35</v>
      </c>
      <c r="P76">
        <v>92</v>
      </c>
      <c r="Q76">
        <v>92</v>
      </c>
      <c r="R76">
        <v>92</v>
      </c>
      <c r="S76">
        <v>92</v>
      </c>
      <c r="T76">
        <v>92</v>
      </c>
      <c r="U76">
        <v>92</v>
      </c>
      <c r="V76">
        <v>92</v>
      </c>
      <c r="W76">
        <v>92</v>
      </c>
      <c r="X76">
        <v>92</v>
      </c>
      <c r="Y76">
        <v>92</v>
      </c>
      <c r="Z76">
        <v>92</v>
      </c>
    </row>
    <row r="77" spans="1:26" x14ac:dyDescent="0.25">
      <c r="H77" s="122">
        <f t="shared" ref="H77:M77" si="30">SUM(H61:H76)</f>
        <v>328</v>
      </c>
      <c r="I77" s="122">
        <f t="shared" si="30"/>
        <v>336</v>
      </c>
      <c r="J77" s="122">
        <f t="shared" si="30"/>
        <v>355</v>
      </c>
      <c r="K77" s="122">
        <f t="shared" si="30"/>
        <v>355</v>
      </c>
      <c r="L77" s="122">
        <f t="shared" si="30"/>
        <v>355</v>
      </c>
      <c r="M77" s="122">
        <f t="shared" si="30"/>
        <v>415</v>
      </c>
      <c r="N77" s="122">
        <f t="shared" ref="N77:O77" si="31">SUM(N61:N76)</f>
        <v>415</v>
      </c>
      <c r="O77" s="122">
        <f t="shared" si="31"/>
        <v>415</v>
      </c>
      <c r="P77" s="122">
        <f t="shared" ref="P77:Q77" si="32">SUM(P61:P76)</f>
        <v>748</v>
      </c>
      <c r="Q77" s="122">
        <f t="shared" si="32"/>
        <v>858</v>
      </c>
      <c r="R77" s="122">
        <f t="shared" ref="R77:S77" si="33">SUM(R61:R76)</f>
        <v>1043</v>
      </c>
      <c r="S77" s="122">
        <f t="shared" si="33"/>
        <v>748</v>
      </c>
      <c r="T77" s="122">
        <f t="shared" ref="T77:U77" si="34">SUM(T61:T76)</f>
        <v>748</v>
      </c>
      <c r="U77" s="122">
        <f t="shared" si="34"/>
        <v>1143</v>
      </c>
      <c r="V77" s="122">
        <f t="shared" ref="V77:W77" si="35">SUM(V61:V76)</f>
        <v>1143</v>
      </c>
      <c r="W77" s="122">
        <f t="shared" si="35"/>
        <v>1143</v>
      </c>
      <c r="X77" s="122">
        <f t="shared" ref="X77:Y77" si="36">SUM(X61:X76)</f>
        <v>1143</v>
      </c>
      <c r="Y77" s="122">
        <f t="shared" si="36"/>
        <v>1143</v>
      </c>
      <c r="Z77" s="122">
        <f t="shared" ref="Z77" si="37">SUM(Z61:Z76)</f>
        <v>1143</v>
      </c>
    </row>
    <row r="81" spans="1:27" x14ac:dyDescent="0.25">
      <c r="A81" t="s">
        <v>410</v>
      </c>
    </row>
    <row r="89" spans="1:27" x14ac:dyDescent="0.25">
      <c r="A89" s="12" t="s">
        <v>558</v>
      </c>
      <c r="B89" s="2"/>
      <c r="C89" s="2"/>
      <c r="D89" s="165"/>
      <c r="E89" s="165"/>
      <c r="F89" s="13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  <c r="Z89" s="196"/>
    </row>
    <row r="90" spans="1:27" x14ac:dyDescent="0.25">
      <c r="A90" s="3" t="s">
        <v>561</v>
      </c>
      <c r="B90" s="4"/>
      <c r="C90" s="4">
        <v>232</v>
      </c>
      <c r="D90" s="169">
        <v>188</v>
      </c>
      <c r="E90" s="169"/>
      <c r="F90" s="4"/>
      <c r="G90" s="169">
        <v>330</v>
      </c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>
        <v>596</v>
      </c>
      <c r="S90" s="193"/>
      <c r="T90" s="193"/>
      <c r="U90" s="193"/>
      <c r="V90" s="193"/>
      <c r="W90" s="193"/>
      <c r="X90" s="193"/>
      <c r="Y90" s="193"/>
      <c r="Z90" s="193"/>
      <c r="AA90" t="s">
        <v>601</v>
      </c>
    </row>
    <row r="91" spans="1:27" x14ac:dyDescent="0.25">
      <c r="A91" s="3" t="s">
        <v>598</v>
      </c>
      <c r="B91" s="4"/>
      <c r="C91" s="4">
        <v>194</v>
      </c>
      <c r="D91" s="169">
        <v>165</v>
      </c>
      <c r="E91" s="169"/>
      <c r="F91" s="14"/>
      <c r="G91" s="193">
        <v>516</v>
      </c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>
        <v>162</v>
      </c>
      <c r="S91" s="193"/>
      <c r="T91" s="193"/>
      <c r="U91" s="193"/>
      <c r="V91" s="193"/>
      <c r="W91" s="193"/>
      <c r="X91" s="193"/>
      <c r="Y91" s="193"/>
      <c r="Z91" s="193"/>
      <c r="AA91">
        <f>Y90+Y91</f>
        <v>0</v>
      </c>
    </row>
    <row r="92" spans="1:27" x14ac:dyDescent="0.25">
      <c r="A92" s="3" t="s">
        <v>599</v>
      </c>
      <c r="B92" s="4"/>
      <c r="C92" s="4">
        <v>277</v>
      </c>
      <c r="D92" s="169">
        <v>212</v>
      </c>
      <c r="E92" s="169"/>
      <c r="F92" s="4"/>
      <c r="G92" s="169">
        <v>472</v>
      </c>
      <c r="H92" s="193"/>
      <c r="I92" s="193"/>
      <c r="J92" s="193"/>
      <c r="K92" s="193"/>
      <c r="L92" s="193"/>
      <c r="M92" s="193"/>
      <c r="N92" s="193"/>
      <c r="O92" s="193"/>
      <c r="P92" s="193"/>
      <c r="Q92" s="193"/>
      <c r="R92" s="193">
        <f>69+57</f>
        <v>126</v>
      </c>
      <c r="S92" s="193"/>
      <c r="T92" s="193"/>
      <c r="U92" s="193"/>
      <c r="V92" s="193"/>
      <c r="W92" s="193"/>
      <c r="X92" s="193"/>
      <c r="Y92" s="193"/>
      <c r="Z92" s="193"/>
      <c r="AA92">
        <f>+Y90+Y92</f>
        <v>0</v>
      </c>
    </row>
    <row r="93" spans="1:27" x14ac:dyDescent="0.25">
      <c r="A93" s="3" t="s">
        <v>600</v>
      </c>
      <c r="B93" s="4"/>
      <c r="C93" s="4">
        <v>277</v>
      </c>
      <c r="D93" s="169">
        <v>212</v>
      </c>
      <c r="E93" s="169"/>
      <c r="F93" s="4"/>
      <c r="G93" s="169">
        <v>372</v>
      </c>
      <c r="H93" s="193"/>
      <c r="I93" s="193"/>
      <c r="J93" s="193"/>
      <c r="K93" s="193"/>
      <c r="L93" s="193"/>
      <c r="M93" s="193"/>
      <c r="N93" s="193"/>
      <c r="O93" s="193"/>
      <c r="P93" s="193"/>
      <c r="Q93" s="193"/>
      <c r="R93" s="193">
        <f>27+16</f>
        <v>43</v>
      </c>
      <c r="S93" s="193"/>
      <c r="T93" s="193"/>
      <c r="U93" s="193"/>
      <c r="V93" s="193"/>
      <c r="W93" s="193"/>
      <c r="X93" s="193"/>
      <c r="Y93" s="193"/>
      <c r="Z93" s="193"/>
      <c r="AA93">
        <f>Y90+Y93</f>
        <v>0</v>
      </c>
    </row>
    <row r="94" spans="1:27" x14ac:dyDescent="0.25">
      <c r="G94" t="s">
        <v>576</v>
      </c>
      <c r="R94" t="s">
        <v>602</v>
      </c>
    </row>
  </sheetData>
  <sortState xmlns:xlrd2="http://schemas.microsoft.com/office/spreadsheetml/2017/richdata2" ref="A59:I67">
    <sortCondition ref="A59:A67"/>
  </sortState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96"/>
  <sheetViews>
    <sheetView zoomScale="140" zoomScaleNormal="140" workbookViewId="0">
      <pane xSplit="7" ySplit="2" topLeftCell="Z3" activePane="bottomRight" state="frozen"/>
      <selection pane="topRight" activeCell="H1" sqref="H1"/>
      <selection pane="bottomLeft" activeCell="A3" sqref="A3"/>
      <selection pane="bottomRight" activeCell="Z11" sqref="Z11"/>
    </sheetView>
  </sheetViews>
  <sheetFormatPr defaultColWidth="11.42578125" defaultRowHeight="15" x14ac:dyDescent="0.25"/>
  <cols>
    <col min="1" max="1" width="22.7109375" customWidth="1"/>
    <col min="2" max="4" width="12.7109375" hidden="1" customWidth="1"/>
    <col min="5" max="26" width="12.7109375" customWidth="1"/>
    <col min="27" max="29" width="14" customWidth="1"/>
    <col min="30" max="30" width="14" bestFit="1" customWidth="1"/>
    <col min="31" max="31" width="11.7109375" bestFit="1" customWidth="1"/>
  </cols>
  <sheetData>
    <row r="1" spans="1:34" ht="15.75" x14ac:dyDescent="0.25">
      <c r="A1" s="209" t="s">
        <v>530</v>
      </c>
      <c r="B1" s="142"/>
      <c r="C1" s="143"/>
      <c r="D1" s="143"/>
      <c r="E1" s="212"/>
      <c r="F1" s="213"/>
      <c r="G1" s="224"/>
      <c r="H1" s="210" t="s">
        <v>1</v>
      </c>
      <c r="I1" s="210" t="s">
        <v>1</v>
      </c>
      <c r="J1" s="210" t="s">
        <v>1</v>
      </c>
      <c r="K1" s="210" t="s">
        <v>1</v>
      </c>
      <c r="L1" s="210" t="s">
        <v>1</v>
      </c>
      <c r="M1" s="210" t="s">
        <v>1</v>
      </c>
      <c r="N1" s="210" t="s">
        <v>1</v>
      </c>
      <c r="O1" s="210" t="s">
        <v>1</v>
      </c>
      <c r="P1" s="210" t="s">
        <v>1</v>
      </c>
      <c r="Q1" s="210" t="s">
        <v>1</v>
      </c>
      <c r="R1" s="210" t="s">
        <v>1</v>
      </c>
      <c r="S1" s="210" t="s">
        <v>1</v>
      </c>
      <c r="T1" s="210" t="s">
        <v>551</v>
      </c>
      <c r="U1" s="210" t="s">
        <v>552</v>
      </c>
      <c r="V1" s="219" t="s">
        <v>557</v>
      </c>
      <c r="W1" s="219" t="s">
        <v>566</v>
      </c>
      <c r="X1" s="210" t="s">
        <v>552</v>
      </c>
      <c r="Y1" s="210" t="s">
        <v>552</v>
      </c>
      <c r="Z1" s="210" t="s">
        <v>552</v>
      </c>
      <c r="AA1" s="210" t="s">
        <v>552</v>
      </c>
      <c r="AB1" s="210" t="s">
        <v>64</v>
      </c>
      <c r="AC1" s="219" t="s">
        <v>574</v>
      </c>
      <c r="AD1" s="219" t="s">
        <v>322</v>
      </c>
    </row>
    <row r="2" spans="1:34" ht="15.75" x14ac:dyDescent="0.25">
      <c r="A2" s="209" t="s">
        <v>2</v>
      </c>
      <c r="B2" s="144" t="s">
        <v>17</v>
      </c>
      <c r="C2" s="144" t="s">
        <v>216</v>
      </c>
      <c r="D2" s="144" t="s">
        <v>333</v>
      </c>
      <c r="E2" s="144" t="s">
        <v>333</v>
      </c>
      <c r="F2" s="214" t="s">
        <v>529</v>
      </c>
      <c r="G2" s="225" t="s">
        <v>575</v>
      </c>
      <c r="H2" s="211">
        <v>42335</v>
      </c>
      <c r="I2" s="211">
        <f>H2+7</f>
        <v>42342</v>
      </c>
      <c r="J2" s="211">
        <f>I2+42</f>
        <v>42384</v>
      </c>
      <c r="K2" s="211">
        <f t="shared" ref="K2:S2" si="0">J2+7</f>
        <v>42391</v>
      </c>
      <c r="L2" s="211">
        <f t="shared" si="0"/>
        <v>42398</v>
      </c>
      <c r="M2" s="211">
        <f t="shared" si="0"/>
        <v>42405</v>
      </c>
      <c r="N2" s="211">
        <f t="shared" si="0"/>
        <v>42412</v>
      </c>
      <c r="O2" s="211">
        <f t="shared" si="0"/>
        <v>42419</v>
      </c>
      <c r="P2" s="211">
        <f t="shared" si="0"/>
        <v>42426</v>
      </c>
      <c r="Q2" s="211">
        <f t="shared" si="0"/>
        <v>42433</v>
      </c>
      <c r="R2" s="211">
        <f t="shared" si="0"/>
        <v>42440</v>
      </c>
      <c r="S2" s="211">
        <f t="shared" si="0"/>
        <v>42447</v>
      </c>
      <c r="T2" s="211">
        <f>S2+11</f>
        <v>42458</v>
      </c>
      <c r="U2" s="211">
        <f>T2+10</f>
        <v>42468</v>
      </c>
      <c r="V2" s="211">
        <f>U2+7</f>
        <v>42475</v>
      </c>
      <c r="W2" s="211">
        <f>V2+7</f>
        <v>42482</v>
      </c>
      <c r="X2" s="211">
        <f>W2+14</f>
        <v>42496</v>
      </c>
      <c r="Y2" s="211">
        <f>X2+7</f>
        <v>42503</v>
      </c>
      <c r="Z2" s="211">
        <f>Y2+7</f>
        <v>42510</v>
      </c>
      <c r="AA2" s="211">
        <f>Z2+7</f>
        <v>42517</v>
      </c>
      <c r="AB2" s="211">
        <f>AA2+5</f>
        <v>42522</v>
      </c>
      <c r="AC2" s="223">
        <f>AB2+2</f>
        <v>42524</v>
      </c>
      <c r="AD2" s="223">
        <f>AC2+2</f>
        <v>42526</v>
      </c>
    </row>
    <row r="3" spans="1:34" x14ac:dyDescent="0.25">
      <c r="A3" s="12" t="s">
        <v>15</v>
      </c>
      <c r="B3" s="38">
        <v>40664</v>
      </c>
      <c r="C3" s="38">
        <v>41061</v>
      </c>
      <c r="D3" s="161">
        <v>41426</v>
      </c>
      <c r="E3" s="161">
        <v>41791</v>
      </c>
      <c r="F3" s="161">
        <v>42186</v>
      </c>
      <c r="G3" s="161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t="s">
        <v>535</v>
      </c>
    </row>
    <row r="4" spans="1:34" x14ac:dyDescent="0.25">
      <c r="A4" s="3" t="s">
        <v>531</v>
      </c>
      <c r="B4" s="40">
        <v>549</v>
      </c>
      <c r="C4" s="40">
        <v>496</v>
      </c>
      <c r="D4" s="162">
        <v>439</v>
      </c>
      <c r="E4" s="162">
        <v>444</v>
      </c>
      <c r="F4" s="14">
        <v>391</v>
      </c>
      <c r="G4" s="193">
        <v>373</v>
      </c>
      <c r="H4" s="193">
        <v>52</v>
      </c>
      <c r="I4" s="193">
        <v>71</v>
      </c>
      <c r="J4" s="193">
        <v>373</v>
      </c>
      <c r="K4" s="193">
        <v>373</v>
      </c>
      <c r="L4" s="193">
        <v>373</v>
      </c>
      <c r="M4" s="193">
        <v>373</v>
      </c>
      <c r="N4" s="193">
        <v>373</v>
      </c>
      <c r="O4" s="193">
        <v>373</v>
      </c>
      <c r="P4" s="193">
        <v>373</v>
      </c>
      <c r="Q4" s="193">
        <v>373</v>
      </c>
      <c r="R4" s="193">
        <v>373</v>
      </c>
      <c r="S4" s="193">
        <v>373</v>
      </c>
      <c r="T4" s="193">
        <v>373</v>
      </c>
      <c r="U4" s="193">
        <v>373</v>
      </c>
      <c r="V4" s="193">
        <v>373</v>
      </c>
      <c r="W4" s="193">
        <v>373</v>
      </c>
      <c r="X4" s="193">
        <v>373</v>
      </c>
      <c r="Y4" s="193">
        <v>373</v>
      </c>
      <c r="Z4" s="193">
        <v>373</v>
      </c>
      <c r="AA4" s="193">
        <v>373</v>
      </c>
      <c r="AB4" s="193">
        <v>373</v>
      </c>
      <c r="AC4" s="193">
        <v>373</v>
      </c>
      <c r="AD4" s="193">
        <v>373</v>
      </c>
      <c r="AE4" t="s">
        <v>545</v>
      </c>
    </row>
    <row r="5" spans="1:34" x14ac:dyDescent="0.25">
      <c r="A5" s="3" t="s">
        <v>532</v>
      </c>
      <c r="B5" s="40"/>
      <c r="C5" s="40"/>
      <c r="D5" s="162"/>
      <c r="E5" s="162">
        <v>174</v>
      </c>
      <c r="F5" s="14">
        <v>174</v>
      </c>
      <c r="G5" s="193">
        <v>97</v>
      </c>
      <c r="H5" s="193">
        <v>4</v>
      </c>
      <c r="I5" s="193">
        <v>8</v>
      </c>
      <c r="J5" s="193">
        <v>92</v>
      </c>
      <c r="K5" s="193">
        <v>97</v>
      </c>
      <c r="L5" s="193">
        <v>97</v>
      </c>
      <c r="M5" s="193">
        <v>97</v>
      </c>
      <c r="N5" s="193">
        <v>97</v>
      </c>
      <c r="O5" s="193">
        <v>97</v>
      </c>
      <c r="P5" s="193">
        <v>97</v>
      </c>
      <c r="Q5" s="193">
        <v>97</v>
      </c>
      <c r="R5" s="193">
        <v>97</v>
      </c>
      <c r="S5" s="193">
        <v>97</v>
      </c>
      <c r="T5" s="193">
        <v>97</v>
      </c>
      <c r="U5" s="193">
        <v>97</v>
      </c>
      <c r="V5" s="193">
        <v>97</v>
      </c>
      <c r="W5" s="193">
        <v>97</v>
      </c>
      <c r="X5" s="193">
        <v>97</v>
      </c>
      <c r="Y5" s="193">
        <v>97</v>
      </c>
      <c r="Z5" s="193">
        <v>97</v>
      </c>
      <c r="AA5" s="193">
        <v>97</v>
      </c>
      <c r="AB5" s="193">
        <v>97</v>
      </c>
      <c r="AC5" s="193">
        <v>97</v>
      </c>
      <c r="AD5" s="193">
        <v>97</v>
      </c>
      <c r="AE5" t="s">
        <v>538</v>
      </c>
    </row>
    <row r="6" spans="1:34" x14ac:dyDescent="0.25">
      <c r="A6" s="3" t="s">
        <v>25</v>
      </c>
      <c r="B6" s="40">
        <v>358</v>
      </c>
      <c r="C6" s="40">
        <v>359</v>
      </c>
      <c r="D6" s="162">
        <v>373</v>
      </c>
      <c r="E6" s="162"/>
      <c r="F6" s="14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</row>
    <row r="7" spans="1:34" x14ac:dyDescent="0.25">
      <c r="A7" s="1" t="s">
        <v>3</v>
      </c>
      <c r="B7" s="39">
        <v>801</v>
      </c>
      <c r="C7" s="39"/>
      <c r="D7" s="163"/>
      <c r="E7" s="163"/>
      <c r="F7" s="2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F7" s="218" t="s">
        <v>546</v>
      </c>
    </row>
    <row r="8" spans="1:34" x14ac:dyDescent="0.25">
      <c r="A8" s="3" t="s">
        <v>533</v>
      </c>
      <c r="B8" s="40">
        <v>937</v>
      </c>
      <c r="C8" s="40">
        <v>989</v>
      </c>
      <c r="D8" s="162">
        <v>827</v>
      </c>
      <c r="E8" s="162">
        <v>861</v>
      </c>
      <c r="F8" s="4">
        <f>639+137+51+45</f>
        <v>872</v>
      </c>
      <c r="G8" s="169">
        <v>890</v>
      </c>
      <c r="H8" s="169">
        <v>2</v>
      </c>
      <c r="I8" s="169">
        <v>2</v>
      </c>
      <c r="J8" s="169">
        <v>13</v>
      </c>
      <c r="K8" s="169">
        <v>22</v>
      </c>
      <c r="L8" s="169">
        <v>31</v>
      </c>
      <c r="M8" s="169">
        <v>34</v>
      </c>
      <c r="N8" s="169">
        <v>44</v>
      </c>
      <c r="O8" s="169">
        <v>46</v>
      </c>
      <c r="P8" s="169">
        <f>58+1+1</f>
        <v>60</v>
      </c>
      <c r="Q8" s="169">
        <f>78+2+1</f>
        <v>81</v>
      </c>
      <c r="R8" s="169">
        <f>93+2+1</f>
        <v>96</v>
      </c>
      <c r="S8" s="169">
        <f>135+2+1</f>
        <v>138</v>
      </c>
      <c r="T8" s="169">
        <f>182+2+1</f>
        <v>185</v>
      </c>
      <c r="U8" s="169">
        <f>312+2+3</f>
        <v>317</v>
      </c>
      <c r="V8" s="169">
        <f>653+5+4+(9)</f>
        <v>671</v>
      </c>
      <c r="W8" s="220">
        <f>705+5+4</f>
        <v>714</v>
      </c>
      <c r="X8" s="220">
        <f>730+15+9</f>
        <v>754</v>
      </c>
      <c r="Y8" s="220">
        <f>553+41+140+39</f>
        <v>773</v>
      </c>
      <c r="Z8" s="220">
        <f>570+42+144+38</f>
        <v>794</v>
      </c>
      <c r="AA8" s="220">
        <f>600+42+143+38</f>
        <v>823</v>
      </c>
      <c r="AB8" s="220">
        <f>631+41+143+38</f>
        <v>853</v>
      </c>
      <c r="AC8" s="220">
        <f>650+41+143+38</f>
        <v>872</v>
      </c>
      <c r="AD8" s="220">
        <f>905-15</f>
        <v>890</v>
      </c>
      <c r="AE8" s="56">
        <f>AD8-AB8</f>
        <v>37</v>
      </c>
      <c r="AF8" s="207">
        <f>AD8-872</f>
        <v>18</v>
      </c>
    </row>
    <row r="9" spans="1:34" x14ac:dyDescent="0.25">
      <c r="A9" s="3" t="s">
        <v>534</v>
      </c>
      <c r="B9" s="40"/>
      <c r="C9" s="40"/>
      <c r="D9" s="162"/>
      <c r="E9" s="162"/>
      <c r="F9" s="4"/>
      <c r="G9" s="169">
        <v>170</v>
      </c>
      <c r="H9" s="169">
        <v>0</v>
      </c>
      <c r="I9" s="169">
        <v>0</v>
      </c>
      <c r="J9" s="169">
        <v>3</v>
      </c>
      <c r="K9" s="169">
        <v>6</v>
      </c>
      <c r="L9" s="169">
        <v>9</v>
      </c>
      <c r="M9" s="169">
        <v>11</v>
      </c>
      <c r="N9" s="169">
        <v>12</v>
      </c>
      <c r="O9" s="169">
        <v>15</v>
      </c>
      <c r="P9" s="169">
        <v>17</v>
      </c>
      <c r="Q9" s="169">
        <v>19</v>
      </c>
      <c r="R9" s="169">
        <v>22</v>
      </c>
      <c r="S9" s="169">
        <v>35</v>
      </c>
      <c r="T9" s="169">
        <f>49+1</f>
        <v>50</v>
      </c>
      <c r="U9" s="169">
        <f>65+1</f>
        <v>66</v>
      </c>
      <c r="V9" s="169">
        <f>134+1</f>
        <v>135</v>
      </c>
      <c r="W9" s="169">
        <f>137+1</f>
        <v>138</v>
      </c>
      <c r="X9" s="169">
        <v>143</v>
      </c>
      <c r="Y9" s="169">
        <v>145</v>
      </c>
      <c r="Z9" s="169">
        <f>81+49+19</f>
        <v>149</v>
      </c>
      <c r="AA9" s="169">
        <f>85+49+19+4</f>
        <v>157</v>
      </c>
      <c r="AB9" s="169">
        <f>85+49+19+4</f>
        <v>157</v>
      </c>
      <c r="AC9" s="169">
        <f>88+49+19+4</f>
        <v>160</v>
      </c>
      <c r="AD9" s="169">
        <v>170</v>
      </c>
      <c r="AE9" s="56">
        <f>AD9-AC9</f>
        <v>10</v>
      </c>
      <c r="AF9" s="221">
        <f>AD9-244</f>
        <v>-74</v>
      </c>
    </row>
    <row r="10" spans="1:34" x14ac:dyDescent="0.25">
      <c r="A10" s="3" t="s">
        <v>142</v>
      </c>
      <c r="B10" s="40"/>
      <c r="C10" s="40">
        <v>105</v>
      </c>
      <c r="D10" s="162">
        <v>176</v>
      </c>
      <c r="E10" s="162"/>
      <c r="F10" s="4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>
        <f>X8+X9+X13</f>
        <v>915</v>
      </c>
      <c r="Y10" s="169">
        <f>Y8+Y9+Y13</f>
        <v>936</v>
      </c>
      <c r="Z10" s="169">
        <f>Z8+Z9+Z13</f>
        <v>961</v>
      </c>
      <c r="AA10" s="169">
        <f>AA8+AA9+AA13</f>
        <v>998</v>
      </c>
      <c r="AB10" s="169">
        <f>AB8+AB9</f>
        <v>1010</v>
      </c>
      <c r="AC10" s="169">
        <f>AC8+AC9</f>
        <v>1032</v>
      </c>
      <c r="AD10" s="169">
        <f>AD8+AD9</f>
        <v>1060</v>
      </c>
    </row>
    <row r="11" spans="1:34" x14ac:dyDescent="0.25">
      <c r="A11" s="3" t="s">
        <v>161</v>
      </c>
      <c r="B11" s="40">
        <v>938</v>
      </c>
      <c r="C11" s="40">
        <v>861</v>
      </c>
      <c r="D11" s="162">
        <v>814</v>
      </c>
      <c r="E11" s="162">
        <v>531</v>
      </c>
      <c r="F11" s="4">
        <v>471</v>
      </c>
      <c r="G11" s="169">
        <v>518</v>
      </c>
      <c r="H11" s="169">
        <v>5</v>
      </c>
      <c r="I11" s="169">
        <v>5</v>
      </c>
      <c r="J11" s="169">
        <v>10</v>
      </c>
      <c r="K11" s="169">
        <v>10</v>
      </c>
      <c r="L11" s="169">
        <v>10</v>
      </c>
      <c r="M11" s="169">
        <v>13</v>
      </c>
      <c r="N11" s="169">
        <v>19</v>
      </c>
      <c r="O11" s="169">
        <v>20</v>
      </c>
      <c r="P11" s="169">
        <v>20</v>
      </c>
      <c r="Q11" s="169">
        <v>29</v>
      </c>
      <c r="R11" s="169">
        <v>34</v>
      </c>
      <c r="S11" s="169">
        <v>39</v>
      </c>
      <c r="T11" s="169">
        <v>49</v>
      </c>
      <c r="U11" s="169">
        <v>81</v>
      </c>
      <c r="V11" s="169">
        <v>134</v>
      </c>
      <c r="W11" s="169">
        <v>159</v>
      </c>
      <c r="X11" s="169">
        <v>197</v>
      </c>
      <c r="Y11" s="169">
        <v>237</v>
      </c>
      <c r="Z11" s="169">
        <f>290+28</f>
        <v>318</v>
      </c>
      <c r="AA11" s="169">
        <v>408</v>
      </c>
      <c r="AB11" s="169">
        <v>463</v>
      </c>
      <c r="AC11" s="169">
        <f>505+13</f>
        <v>518</v>
      </c>
      <c r="AD11" s="169">
        <f>505+13</f>
        <v>518</v>
      </c>
      <c r="AE11" s="56">
        <f>AD11-AB11</f>
        <v>55</v>
      </c>
      <c r="AF11" s="207">
        <f>AD11-471</f>
        <v>47</v>
      </c>
    </row>
    <row r="12" spans="1:34" x14ac:dyDescent="0.25">
      <c r="A12" s="3" t="s">
        <v>5</v>
      </c>
      <c r="B12" s="40"/>
      <c r="C12" s="40">
        <v>284</v>
      </c>
      <c r="D12" s="162">
        <v>226</v>
      </c>
      <c r="E12" s="162">
        <v>169</v>
      </c>
      <c r="F12" s="4">
        <v>218</v>
      </c>
      <c r="G12" s="169">
        <v>172</v>
      </c>
      <c r="H12" s="169"/>
      <c r="I12" s="169"/>
      <c r="J12" s="169"/>
      <c r="K12" s="169"/>
      <c r="L12" s="169"/>
      <c r="M12" s="169"/>
      <c r="N12" s="169"/>
      <c r="O12" s="169">
        <v>163</v>
      </c>
      <c r="P12" s="169">
        <v>159</v>
      </c>
      <c r="Q12" s="169">
        <v>157</v>
      </c>
      <c r="R12" s="169">
        <v>157</v>
      </c>
      <c r="S12" s="169">
        <f>163+16</f>
        <v>179</v>
      </c>
      <c r="T12" s="169">
        <f>166+16</f>
        <v>182</v>
      </c>
      <c r="U12" s="169">
        <f>167+16</f>
        <v>183</v>
      </c>
      <c r="V12" s="169">
        <f>180-V13+16</f>
        <v>184</v>
      </c>
      <c r="W12" s="169">
        <f>180-W13+16</f>
        <v>183</v>
      </c>
      <c r="X12" s="169">
        <f>176-X13+16</f>
        <v>174</v>
      </c>
      <c r="Y12" s="169">
        <f>183-Y13+16</f>
        <v>181</v>
      </c>
      <c r="Z12" s="169">
        <f>183-Z13+16</f>
        <v>181</v>
      </c>
      <c r="AA12" s="169">
        <f>181-AA13+16</f>
        <v>179</v>
      </c>
      <c r="AB12" s="169">
        <f>180-AB13+16</f>
        <v>172</v>
      </c>
      <c r="AC12" s="169">
        <f>180-AC13+16</f>
        <v>172</v>
      </c>
      <c r="AD12" s="169">
        <f>180-AD13+16</f>
        <v>172</v>
      </c>
      <c r="AE12" s="83">
        <f>AD8+AD9+AD11</f>
        <v>1578</v>
      </c>
      <c r="AF12" t="s">
        <v>547</v>
      </c>
    </row>
    <row r="13" spans="1:34" x14ac:dyDescent="0.25">
      <c r="A13" s="3" t="s">
        <v>307</v>
      </c>
      <c r="B13" s="40"/>
      <c r="C13" s="40"/>
      <c r="D13" s="162">
        <v>35</v>
      </c>
      <c r="E13" s="162">
        <v>23</v>
      </c>
      <c r="F13" s="4">
        <v>44</v>
      </c>
      <c r="G13" s="169">
        <v>24</v>
      </c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>
        <v>12</v>
      </c>
      <c r="W13" s="169">
        <v>13</v>
      </c>
      <c r="X13" s="169">
        <v>18</v>
      </c>
      <c r="Y13" s="169">
        <v>18</v>
      </c>
      <c r="Z13" s="169">
        <v>18</v>
      </c>
      <c r="AA13" s="169">
        <v>18</v>
      </c>
      <c r="AB13" s="169">
        <f>18+6</f>
        <v>24</v>
      </c>
      <c r="AC13" s="169">
        <f>18+6</f>
        <v>24</v>
      </c>
      <c r="AD13" s="169">
        <f>18+6</f>
        <v>24</v>
      </c>
    </row>
    <row r="14" spans="1:34" x14ac:dyDescent="0.25">
      <c r="A14" s="3" t="s">
        <v>479</v>
      </c>
      <c r="B14" s="40"/>
      <c r="C14" s="40"/>
      <c r="D14" s="162">
        <v>27</v>
      </c>
      <c r="E14" s="162">
        <v>56</v>
      </c>
      <c r="F14" s="4">
        <f>26+17</f>
        <v>43</v>
      </c>
      <c r="G14" s="169">
        <v>52</v>
      </c>
      <c r="H14" s="169"/>
      <c r="I14" s="169"/>
      <c r="J14" s="169"/>
      <c r="K14" s="169"/>
      <c r="L14" s="169"/>
      <c r="M14" s="169"/>
      <c r="N14" s="169"/>
      <c r="O14" s="169">
        <v>37</v>
      </c>
      <c r="P14" s="169">
        <f>37+3</f>
        <v>40</v>
      </c>
      <c r="Q14" s="169">
        <f>37+5</f>
        <v>42</v>
      </c>
      <c r="R14" s="169">
        <f>37+5</f>
        <v>42</v>
      </c>
      <c r="S14" s="169">
        <f>37+5+6</f>
        <v>48</v>
      </c>
      <c r="T14" s="169">
        <f>37+5+6</f>
        <v>48</v>
      </c>
      <c r="U14" s="169">
        <f>37+5+6</f>
        <v>48</v>
      </c>
      <c r="V14" s="169">
        <f>37+7+6</f>
        <v>50</v>
      </c>
      <c r="W14" s="169">
        <f>38+6+6</f>
        <v>50</v>
      </c>
      <c r="X14" s="169">
        <f>38+7+6</f>
        <v>51</v>
      </c>
      <c r="Y14" s="169">
        <f>37+8+6</f>
        <v>51</v>
      </c>
      <c r="Z14" s="169">
        <f>37+8+6</f>
        <v>51</v>
      </c>
      <c r="AA14" s="169">
        <f>37+8+6</f>
        <v>51</v>
      </c>
      <c r="AB14" s="169">
        <f>37+9+6</f>
        <v>52</v>
      </c>
      <c r="AC14" s="169">
        <f>37+9+6</f>
        <v>52</v>
      </c>
      <c r="AD14" s="169">
        <f>37+9+6</f>
        <v>52</v>
      </c>
    </row>
    <row r="15" spans="1:34" x14ac:dyDescent="0.25">
      <c r="A15" s="3" t="s">
        <v>321</v>
      </c>
      <c r="B15" s="40"/>
      <c r="C15" s="40">
        <f>13+6</f>
        <v>19</v>
      </c>
      <c r="D15" s="162">
        <v>39</v>
      </c>
      <c r="E15" s="162">
        <v>40</v>
      </c>
      <c r="F15" s="4">
        <v>12</v>
      </c>
      <c r="G15" s="169">
        <v>7</v>
      </c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>
        <v>2</v>
      </c>
      <c r="Y15" s="169">
        <v>2</v>
      </c>
      <c r="Z15" s="169">
        <v>3</v>
      </c>
      <c r="AA15" s="169">
        <v>3</v>
      </c>
      <c r="AB15" s="169">
        <v>7</v>
      </c>
      <c r="AC15" s="169">
        <v>7</v>
      </c>
      <c r="AD15" s="169">
        <v>7</v>
      </c>
      <c r="AF15" s="83" t="s">
        <v>528</v>
      </c>
    </row>
    <row r="16" spans="1:34" x14ac:dyDescent="0.25">
      <c r="A16" s="3" t="s">
        <v>162</v>
      </c>
      <c r="B16" s="40"/>
      <c r="C16" s="40">
        <v>693</v>
      </c>
      <c r="D16" s="162">
        <v>885</v>
      </c>
      <c r="E16" s="162">
        <v>821</v>
      </c>
      <c r="F16" s="4">
        <v>809</v>
      </c>
      <c r="G16" s="169">
        <v>847</v>
      </c>
      <c r="H16" s="169"/>
      <c r="I16" s="169"/>
      <c r="J16" s="169"/>
      <c r="K16" s="169"/>
      <c r="L16" s="169"/>
      <c r="M16" s="169"/>
      <c r="N16" s="169">
        <v>2</v>
      </c>
      <c r="O16" s="169">
        <v>5</v>
      </c>
      <c r="P16" s="169">
        <f>5+5</f>
        <v>10</v>
      </c>
      <c r="Q16" s="169">
        <f>5+5</f>
        <v>10</v>
      </c>
      <c r="R16" s="169">
        <f>5+5+1</f>
        <v>11</v>
      </c>
      <c r="S16" s="169">
        <f>10+5+1+1</f>
        <v>17</v>
      </c>
      <c r="T16" s="169">
        <f>33+5+1+1</f>
        <v>40</v>
      </c>
      <c r="U16" s="169">
        <f>40+5+1+1</f>
        <v>47</v>
      </c>
      <c r="V16" s="169">
        <f>61+5+4+1</f>
        <v>71</v>
      </c>
      <c r="W16" s="169">
        <f>61+5+4+1</f>
        <v>71</v>
      </c>
      <c r="X16" s="169">
        <f>184+5+4+1</f>
        <v>194</v>
      </c>
      <c r="Y16" s="169">
        <f>354+5+4+1</f>
        <v>364</v>
      </c>
      <c r="Z16" s="169">
        <f>500+71</f>
        <v>571</v>
      </c>
      <c r="AA16" s="169">
        <v>591</v>
      </c>
      <c r="AB16" s="169">
        <f>668+81+11</f>
        <v>760</v>
      </c>
      <c r="AC16" s="169">
        <f>755+81+11</f>
        <v>847</v>
      </c>
      <c r="AD16" s="169">
        <f>755+81+11</f>
        <v>847</v>
      </c>
      <c r="AF16" s="176" t="s">
        <v>509</v>
      </c>
      <c r="AG16" s="174" t="s">
        <v>560</v>
      </c>
      <c r="AH16" t="s">
        <v>559</v>
      </c>
    </row>
    <row r="17" spans="1:34" x14ac:dyDescent="0.25">
      <c r="A17" s="3" t="s">
        <v>313</v>
      </c>
      <c r="B17" s="40"/>
      <c r="C17" s="40"/>
      <c r="D17" s="162">
        <v>156</v>
      </c>
      <c r="E17" s="162">
        <v>98</v>
      </c>
      <c r="F17" s="4"/>
      <c r="G17" s="169">
        <v>85</v>
      </c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>
        <v>150</v>
      </c>
      <c r="S17" s="169">
        <v>250</v>
      </c>
      <c r="T17" s="169">
        <v>250</v>
      </c>
      <c r="U17" s="169">
        <v>250</v>
      </c>
      <c r="V17" s="169">
        <v>250</v>
      </c>
      <c r="W17" s="169">
        <v>250</v>
      </c>
      <c r="X17" s="169">
        <v>250</v>
      </c>
      <c r="Y17" s="169">
        <v>250</v>
      </c>
      <c r="Z17" s="169">
        <v>140</v>
      </c>
      <c r="AA17" s="169">
        <v>85</v>
      </c>
      <c r="AB17" s="169">
        <v>85</v>
      </c>
      <c r="AC17" s="169">
        <v>85</v>
      </c>
      <c r="AD17" s="169">
        <v>85</v>
      </c>
      <c r="AE17" t="s">
        <v>550</v>
      </c>
      <c r="AF17" s="176" t="s">
        <v>510</v>
      </c>
      <c r="AG17" s="174">
        <f>450+18+109+32+45</f>
        <v>654</v>
      </c>
      <c r="AH17">
        <v>119</v>
      </c>
    </row>
    <row r="18" spans="1:34" x14ac:dyDescent="0.25">
      <c r="A18" s="1" t="s">
        <v>217</v>
      </c>
      <c r="B18" s="41">
        <f>SUM(B8:B15)</f>
        <v>1875</v>
      </c>
      <c r="C18" s="41">
        <f>SUM(C8:C17)</f>
        <v>2951</v>
      </c>
      <c r="D18" s="164">
        <f>SUM(D8:D17)</f>
        <v>3185</v>
      </c>
      <c r="E18" s="164">
        <f>SUM(E8:E17)</f>
        <v>2599</v>
      </c>
      <c r="F18" s="5">
        <f>SUM(F8:F16)</f>
        <v>2469</v>
      </c>
      <c r="G18" s="5">
        <f>SUM(G8:G16)</f>
        <v>2680</v>
      </c>
      <c r="H18" s="194">
        <f t="shared" ref="H18:M18" si="1">SUM(H8:H15)</f>
        <v>7</v>
      </c>
      <c r="I18" s="194">
        <f t="shared" si="1"/>
        <v>7</v>
      </c>
      <c r="J18" s="194">
        <f t="shared" si="1"/>
        <v>26</v>
      </c>
      <c r="K18" s="194">
        <f t="shared" si="1"/>
        <v>38</v>
      </c>
      <c r="L18" s="194">
        <f t="shared" si="1"/>
        <v>50</v>
      </c>
      <c r="M18" s="194">
        <f t="shared" si="1"/>
        <v>58</v>
      </c>
      <c r="N18" s="194">
        <f t="shared" ref="N18:O18" si="2">SUM(N8:N15)</f>
        <v>75</v>
      </c>
      <c r="O18" s="194">
        <f t="shared" si="2"/>
        <v>281</v>
      </c>
      <c r="P18" s="194">
        <f t="shared" ref="P18:Q18" si="3">SUM(P8:P15)</f>
        <v>296</v>
      </c>
      <c r="Q18" s="194">
        <f t="shared" si="3"/>
        <v>328</v>
      </c>
      <c r="R18" s="194">
        <f t="shared" ref="R18:S18" si="4">SUM(R8:R15)</f>
        <v>351</v>
      </c>
      <c r="S18" s="194">
        <f t="shared" si="4"/>
        <v>439</v>
      </c>
      <c r="T18" s="194">
        <f t="shared" ref="T18:U18" si="5">SUM(T8:T15)</f>
        <v>514</v>
      </c>
      <c r="U18" s="194">
        <f t="shared" si="5"/>
        <v>695</v>
      </c>
      <c r="V18" s="194">
        <f t="shared" ref="V18:W18" si="6">SUM(V8:V15)</f>
        <v>1186</v>
      </c>
      <c r="W18" s="194">
        <f t="shared" si="6"/>
        <v>1257</v>
      </c>
      <c r="X18" s="194">
        <f t="shared" ref="X18:AC18" si="7">SUM(X8:X16)</f>
        <v>2448</v>
      </c>
      <c r="Y18" s="194">
        <f t="shared" si="7"/>
        <v>2707</v>
      </c>
      <c r="Z18" s="194">
        <f t="shared" si="7"/>
        <v>3046</v>
      </c>
      <c r="AA18" s="194">
        <f t="shared" si="7"/>
        <v>3228</v>
      </c>
      <c r="AB18" s="194">
        <f t="shared" si="7"/>
        <v>3498</v>
      </c>
      <c r="AC18" s="194">
        <f t="shared" si="7"/>
        <v>3684</v>
      </c>
      <c r="AD18" s="194">
        <f t="shared" ref="AD18" si="8">SUM(AD8:AD16)</f>
        <v>3740</v>
      </c>
      <c r="AF18" s="176" t="s">
        <v>511</v>
      </c>
      <c r="AG18" s="174">
        <f>485+18+78+14+12</f>
        <v>607</v>
      </c>
      <c r="AH18">
        <v>124</v>
      </c>
    </row>
    <row r="19" spans="1:34" x14ac:dyDescent="0.25">
      <c r="A19" s="6"/>
      <c r="B19" s="40"/>
      <c r="C19" s="97"/>
      <c r="D19" s="97"/>
      <c r="E19" s="97"/>
      <c r="F19" s="4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F19" s="176" t="s">
        <v>512</v>
      </c>
      <c r="AG19" s="174">
        <f>384+18+59+12+18</f>
        <v>491</v>
      </c>
      <c r="AH19">
        <v>38</v>
      </c>
    </row>
    <row r="20" spans="1:34" x14ac:dyDescent="0.25">
      <c r="A20" s="1" t="s">
        <v>8</v>
      </c>
      <c r="B20" s="2"/>
      <c r="C20" s="2"/>
      <c r="D20" s="165"/>
      <c r="E20" s="165"/>
      <c r="F20" s="2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</row>
    <row r="21" spans="1:34" x14ac:dyDescent="0.25">
      <c r="A21" s="54" t="s">
        <v>536</v>
      </c>
      <c r="B21" s="42" t="s">
        <v>218</v>
      </c>
      <c r="C21" s="53">
        <f>167086</f>
        <v>167086</v>
      </c>
      <c r="D21" s="166"/>
      <c r="E21" s="166">
        <v>182937.25</v>
      </c>
      <c r="F21" s="53">
        <f>208533.9/1.2</f>
        <v>173778.25</v>
      </c>
      <c r="G21" s="166">
        <v>165483</v>
      </c>
      <c r="H21" s="166">
        <f>840/1.2</f>
        <v>700</v>
      </c>
      <c r="I21" s="166">
        <f>840/1.2</f>
        <v>700</v>
      </c>
      <c r="J21" s="166">
        <f>4192/1.2</f>
        <v>3493.3333333333335</v>
      </c>
      <c r="K21" s="166">
        <f>5982/1.2</f>
        <v>4985</v>
      </c>
      <c r="L21" s="166">
        <f>7966/1.2</f>
        <v>6638.3333333333339</v>
      </c>
      <c r="M21" s="166">
        <f>8903/1.2</f>
        <v>7419.166666666667</v>
      </c>
      <c r="N21" s="166">
        <f>11486/1.2</f>
        <v>9571.6666666666679</v>
      </c>
      <c r="O21" s="166">
        <f>12573/1.2</f>
        <v>10477.5</v>
      </c>
      <c r="P21" s="166">
        <f>16179/1.2</f>
        <v>13482.5</v>
      </c>
      <c r="Q21" s="166">
        <f>21173/1.2</f>
        <v>17644.166666666668</v>
      </c>
      <c r="R21" s="166">
        <f>25064/1.2</f>
        <v>20886.666666666668</v>
      </c>
      <c r="S21" s="166">
        <f>34270/1.2</f>
        <v>28558.333333333336</v>
      </c>
      <c r="T21" s="166">
        <f>46141.9/1.2</f>
        <v>38451.583333333336</v>
      </c>
      <c r="U21" s="166">
        <f>79091.9/1.2</f>
        <v>65909.916666666672</v>
      </c>
      <c r="V21" s="166">
        <f>147687/1.2</f>
        <v>123072.5</v>
      </c>
      <c r="W21" s="166">
        <f>159210/1.2</f>
        <v>132675</v>
      </c>
      <c r="X21" s="166">
        <f>168873/1.2</f>
        <v>140727.5</v>
      </c>
      <c r="Y21" s="166">
        <f>173722.69/1.2</f>
        <v>144768.90833333335</v>
      </c>
      <c r="Z21" s="166">
        <f>180658.29/1.2</f>
        <v>150548.57500000001</v>
      </c>
      <c r="AA21" s="166">
        <f>187762.79/1.2</f>
        <v>156468.99166666667</v>
      </c>
      <c r="AB21" s="166">
        <f>195064.79/1.2</f>
        <v>162553.99166666667</v>
      </c>
      <c r="AC21" s="166">
        <f>198579.99/1.2</f>
        <v>165483.32500000001</v>
      </c>
      <c r="AD21" s="166">
        <f>198579.99/1.2</f>
        <v>165483.32500000001</v>
      </c>
      <c r="AF21" s="44">
        <f>AD21/AD8</f>
        <v>185.93632022471911</v>
      </c>
    </row>
    <row r="22" spans="1:34" x14ac:dyDescent="0.25">
      <c r="A22" s="54" t="s">
        <v>537</v>
      </c>
      <c r="B22" s="42"/>
      <c r="C22" s="53"/>
      <c r="D22" s="166"/>
      <c r="E22" s="166"/>
      <c r="F22" s="53"/>
      <c r="G22" s="166">
        <v>29416.58</v>
      </c>
      <c r="H22" s="166"/>
      <c r="I22" s="166"/>
      <c r="J22" s="166">
        <f>780/1.2</f>
        <v>650</v>
      </c>
      <c r="K22" s="166">
        <f>1512/1.2</f>
        <v>1260</v>
      </c>
      <c r="L22" s="166">
        <f>2352/1.2</f>
        <v>1960</v>
      </c>
      <c r="M22" s="166">
        <f>2811/1.2</f>
        <v>2342.5</v>
      </c>
      <c r="N22" s="166">
        <f>3010/1.2</f>
        <v>2508.3333333333335</v>
      </c>
      <c r="O22" s="166">
        <f>3690/1.2</f>
        <v>3075</v>
      </c>
      <c r="P22" s="166">
        <f>4210/1.2</f>
        <v>3508.3333333333335</v>
      </c>
      <c r="Q22" s="166">
        <f>4730/1.2</f>
        <v>3941.666666666667</v>
      </c>
      <c r="R22" s="166">
        <f>5744/1.2</f>
        <v>4786.666666666667</v>
      </c>
      <c r="S22" s="166">
        <f>9380/1.2</f>
        <v>7816.666666666667</v>
      </c>
      <c r="T22" s="166">
        <f>12811/1.2</f>
        <v>10675.833333333334</v>
      </c>
      <c r="U22" s="166">
        <f>15996/1.2</f>
        <v>13330</v>
      </c>
      <c r="V22" s="166">
        <f>29339.4/1.2</f>
        <v>24449.500000000004</v>
      </c>
      <c r="W22" s="166">
        <f>29905.4/1.2</f>
        <v>24921.166666666668</v>
      </c>
      <c r="X22" s="166">
        <f>30349.4/1.2</f>
        <v>25291.166666666668</v>
      </c>
      <c r="Y22" s="166">
        <f>30866.4/1.2</f>
        <v>25722.000000000004</v>
      </c>
      <c r="Z22" s="166">
        <f>31649.4/1.2</f>
        <v>26374.500000000004</v>
      </c>
      <c r="AA22" s="166">
        <f>33599.9/1.2</f>
        <v>27999.916666666668</v>
      </c>
      <c r="AB22" s="166">
        <f>33825.9/1.2</f>
        <v>28188.250000000004</v>
      </c>
      <c r="AC22" s="166">
        <f>35299.9/1.2</f>
        <v>29416.583333333336</v>
      </c>
      <c r="AD22" s="166">
        <f>35299.9/1.2</f>
        <v>29416.583333333336</v>
      </c>
    </row>
    <row r="23" spans="1:34" x14ac:dyDescent="0.25">
      <c r="A23" s="8" t="s">
        <v>268</v>
      </c>
      <c r="B23" s="42"/>
      <c r="C23" s="42">
        <v>10980</v>
      </c>
      <c r="D23" s="167"/>
      <c r="E23" s="167">
        <v>10330</v>
      </c>
      <c r="F23" s="9">
        <v>12355</v>
      </c>
      <c r="G23" s="195">
        <v>21375</v>
      </c>
      <c r="H23" s="195"/>
      <c r="I23" s="195"/>
      <c r="J23" s="195">
        <f>2090+5495</f>
        <v>7585</v>
      </c>
      <c r="K23" s="195">
        <f>2090+5495</f>
        <v>7585</v>
      </c>
      <c r="L23" s="195">
        <f>2090+5495</f>
        <v>7585</v>
      </c>
      <c r="M23" s="195">
        <f>2090+5495</f>
        <v>7585</v>
      </c>
      <c r="N23" s="195">
        <v>30225</v>
      </c>
      <c r="O23" s="195">
        <v>30225</v>
      </c>
      <c r="P23" s="195">
        <v>10080</v>
      </c>
      <c r="Q23" s="195">
        <f t="shared" ref="Q23:X23" si="9">7990+2090</f>
        <v>10080</v>
      </c>
      <c r="R23" s="195">
        <f t="shared" si="9"/>
        <v>10080</v>
      </c>
      <c r="S23" s="195">
        <f t="shared" si="9"/>
        <v>10080</v>
      </c>
      <c r="T23" s="195">
        <f t="shared" si="9"/>
        <v>10080</v>
      </c>
      <c r="U23" s="195">
        <f t="shared" si="9"/>
        <v>10080</v>
      </c>
      <c r="V23" s="195">
        <f t="shared" si="9"/>
        <v>10080</v>
      </c>
      <c r="W23" s="195">
        <f t="shared" si="9"/>
        <v>10080</v>
      </c>
      <c r="X23" s="195">
        <f t="shared" si="9"/>
        <v>10080</v>
      </c>
      <c r="Y23" s="195">
        <f>7990+3385</f>
        <v>11375</v>
      </c>
      <c r="Z23" s="195">
        <f>17990+3385</f>
        <v>21375</v>
      </c>
      <c r="AA23" s="195">
        <f>17990+3385</f>
        <v>21375</v>
      </c>
      <c r="AB23" s="195">
        <f>17990+3385</f>
        <v>21375</v>
      </c>
      <c r="AC23" s="195">
        <f>17990+3385</f>
        <v>21375</v>
      </c>
      <c r="AD23" s="195">
        <f>17990+3385</f>
        <v>21375</v>
      </c>
    </row>
    <row r="24" spans="1:34" x14ac:dyDescent="0.25">
      <c r="A24" s="8" t="s">
        <v>11</v>
      </c>
      <c r="B24" s="42">
        <v>478526</v>
      </c>
      <c r="C24" s="42">
        <v>490077</v>
      </c>
      <c r="D24" s="167"/>
      <c r="E24" s="167">
        <v>496920</v>
      </c>
      <c r="F24" s="9">
        <v>523710</v>
      </c>
      <c r="G24" s="195">
        <v>531204</v>
      </c>
      <c r="H24" s="195"/>
      <c r="I24" s="195"/>
      <c r="J24" s="195">
        <v>464415</v>
      </c>
      <c r="K24" s="195">
        <v>464415</v>
      </c>
      <c r="L24" s="195">
        <v>464139</v>
      </c>
      <c r="M24" s="195">
        <v>482979</v>
      </c>
      <c r="N24" s="195">
        <v>482979</v>
      </c>
      <c r="O24" s="195">
        <v>482979</v>
      </c>
      <c r="P24" s="195">
        <v>486084</v>
      </c>
      <c r="Q24" s="195">
        <v>499084</v>
      </c>
      <c r="R24" s="195">
        <v>510469</v>
      </c>
      <c r="S24" s="195">
        <v>509434</v>
      </c>
      <c r="T24" s="195">
        <v>509434</v>
      </c>
      <c r="U24" s="195">
        <v>509434</v>
      </c>
      <c r="V24" s="195">
        <v>512194</v>
      </c>
      <c r="W24" s="195">
        <v>514474</v>
      </c>
      <c r="X24" s="195">
        <v>525474</v>
      </c>
      <c r="Y24" s="195">
        <v>529824</v>
      </c>
      <c r="Z24" s="195">
        <v>529824</v>
      </c>
      <c r="AA24" s="195">
        <v>531204</v>
      </c>
      <c r="AB24" s="195">
        <v>531204</v>
      </c>
      <c r="AC24" s="195">
        <v>531204</v>
      </c>
      <c r="AD24" s="195">
        <v>531204</v>
      </c>
      <c r="AE24" t="s">
        <v>543</v>
      </c>
    </row>
    <row r="25" spans="1:34" x14ac:dyDescent="0.25">
      <c r="A25" s="8" t="s">
        <v>548</v>
      </c>
      <c r="B25" s="42">
        <v>0</v>
      </c>
      <c r="C25" s="42">
        <v>18790</v>
      </c>
      <c r="D25" s="167"/>
      <c r="E25" s="167">
        <v>8630</v>
      </c>
      <c r="F25" s="9">
        <v>26970</v>
      </c>
      <c r="G25" s="195">
        <v>20335</v>
      </c>
      <c r="H25" s="195"/>
      <c r="I25" s="195"/>
      <c r="J25" s="195">
        <f>5660+13990</f>
        <v>19650</v>
      </c>
      <c r="K25" s="195">
        <f>5660+13990</f>
        <v>19650</v>
      </c>
      <c r="L25" s="195">
        <f>5660+13990</f>
        <v>19650</v>
      </c>
      <c r="M25" s="195">
        <v>12655</v>
      </c>
      <c r="N25" s="195">
        <v>12655</v>
      </c>
      <c r="O25" s="195">
        <v>12655</v>
      </c>
      <c r="P25" s="195">
        <v>12655</v>
      </c>
      <c r="Q25" s="195">
        <f>10990+5660</f>
        <v>16650</v>
      </c>
      <c r="R25" s="195">
        <f>10990+6355</f>
        <v>17345</v>
      </c>
      <c r="S25" s="195">
        <f>10990+7050</f>
        <v>18040</v>
      </c>
      <c r="T25" s="195">
        <f>10990+7050</f>
        <v>18040</v>
      </c>
      <c r="U25" s="195">
        <f>10990+7050</f>
        <v>18040</v>
      </c>
      <c r="V25" s="195">
        <f>10990+7745</f>
        <v>18735</v>
      </c>
      <c r="W25" s="195">
        <f>10990+7745</f>
        <v>18735</v>
      </c>
      <c r="X25" s="195">
        <f>10990+8450</f>
        <v>19440</v>
      </c>
      <c r="Y25" s="195">
        <f>10990+8450</f>
        <v>19440</v>
      </c>
      <c r="Z25" s="195">
        <f>10990+9345</f>
        <v>20335</v>
      </c>
      <c r="AA25" s="195">
        <f>10990+9345</f>
        <v>20335</v>
      </c>
      <c r="AB25" s="195">
        <f>10990+9345</f>
        <v>20335</v>
      </c>
      <c r="AC25" s="195">
        <f>10990+9345</f>
        <v>20335</v>
      </c>
      <c r="AD25" s="195">
        <f>10990+9345</f>
        <v>20335</v>
      </c>
      <c r="AE25" s="44">
        <f>AD23+AD24+AD25</f>
        <v>572914</v>
      </c>
      <c r="AF25" s="222" t="s">
        <v>572</v>
      </c>
    </row>
    <row r="26" spans="1:34" x14ac:dyDescent="0.25">
      <c r="A26" s="215" t="s">
        <v>540</v>
      </c>
      <c r="B26" s="216"/>
      <c r="C26" s="216"/>
      <c r="D26" s="217"/>
      <c r="E26" s="217"/>
      <c r="F26" s="216"/>
      <c r="G26" s="217">
        <f t="shared" ref="G26" si="10">G21+G23+G24+G25</f>
        <v>738397</v>
      </c>
      <c r="H26" s="217"/>
      <c r="I26" s="217"/>
      <c r="J26" s="217">
        <f t="shared" ref="J26:O26" si="11">J21+J23+J24+J25</f>
        <v>495143.33333333331</v>
      </c>
      <c r="K26" s="217">
        <f t="shared" si="11"/>
        <v>496635</v>
      </c>
      <c r="L26" s="217">
        <f t="shared" si="11"/>
        <v>498012.33333333331</v>
      </c>
      <c r="M26" s="217">
        <f t="shared" si="11"/>
        <v>510638.16666666669</v>
      </c>
      <c r="N26" s="217">
        <f t="shared" si="11"/>
        <v>535430.66666666674</v>
      </c>
      <c r="O26" s="217">
        <f t="shared" si="11"/>
        <v>536336.5</v>
      </c>
      <c r="P26" s="217">
        <f t="shared" ref="P26:Q26" si="12">P21+P23+P24+P25</f>
        <v>522301.5</v>
      </c>
      <c r="Q26" s="217">
        <f t="shared" si="12"/>
        <v>543458.16666666663</v>
      </c>
      <c r="R26" s="217">
        <f t="shared" ref="R26:S26" si="13">R21+R23+R24+R25</f>
        <v>558780.66666666663</v>
      </c>
      <c r="S26" s="217">
        <f t="shared" si="13"/>
        <v>566112.33333333337</v>
      </c>
      <c r="T26" s="217">
        <f t="shared" ref="T26:U26" si="14">T21+T23+T24+T25</f>
        <v>576005.58333333337</v>
      </c>
      <c r="U26" s="217">
        <f t="shared" si="14"/>
        <v>603463.91666666663</v>
      </c>
      <c r="V26" s="217">
        <f t="shared" ref="V26:W26" si="15">V21+V23+V24+V25</f>
        <v>664081.5</v>
      </c>
      <c r="W26" s="217">
        <f t="shared" si="15"/>
        <v>675964</v>
      </c>
      <c r="X26" s="217">
        <f t="shared" ref="X26:Y26" si="16">X21+X23+X24+X25</f>
        <v>695721.5</v>
      </c>
      <c r="Y26" s="217">
        <f t="shared" si="16"/>
        <v>705407.90833333333</v>
      </c>
      <c r="Z26" s="217">
        <f t="shared" ref="Z26:AA26" si="17">Z21+Z23+Z24+Z25</f>
        <v>722082.57499999995</v>
      </c>
      <c r="AA26" s="217">
        <f t="shared" si="17"/>
        <v>729382.9916666667</v>
      </c>
      <c r="AB26" s="217">
        <f t="shared" ref="AB26:AC26" si="18">AB21+AB23+AB24+AB25</f>
        <v>735467.9916666667</v>
      </c>
      <c r="AC26" s="217">
        <f t="shared" si="18"/>
        <v>738397.32499999995</v>
      </c>
      <c r="AD26" s="217">
        <f t="shared" ref="AD26" si="19">AD21+AD23+AD24+AD25</f>
        <v>738397.32499999995</v>
      </c>
    </row>
    <row r="27" spans="1:34" x14ac:dyDescent="0.25">
      <c r="A27" s="8" t="s">
        <v>539</v>
      </c>
      <c r="B27" s="42"/>
      <c r="C27" s="42"/>
      <c r="D27" s="167"/>
      <c r="E27" s="167"/>
      <c r="F27" s="9"/>
      <c r="G27" s="195">
        <v>63330</v>
      </c>
      <c r="H27" s="195"/>
      <c r="I27" s="195"/>
      <c r="J27" s="195">
        <v>47270</v>
      </c>
      <c r="K27" s="195">
        <v>47270</v>
      </c>
      <c r="L27" s="195">
        <v>47270</v>
      </c>
      <c r="M27" s="195">
        <v>47270</v>
      </c>
      <c r="N27" s="195">
        <v>47270</v>
      </c>
      <c r="O27" s="195">
        <v>47270</v>
      </c>
      <c r="P27" s="195">
        <v>50765</v>
      </c>
      <c r="Q27" s="195">
        <v>50765</v>
      </c>
      <c r="R27" s="195">
        <v>53360</v>
      </c>
      <c r="S27" s="195">
        <v>53360</v>
      </c>
      <c r="T27" s="195">
        <v>56855</v>
      </c>
      <c r="U27" s="195">
        <v>59845</v>
      </c>
      <c r="V27" s="195">
        <v>62340</v>
      </c>
      <c r="W27" s="195">
        <v>62340</v>
      </c>
      <c r="X27" s="195">
        <v>62340</v>
      </c>
      <c r="Y27" s="195">
        <v>63835</v>
      </c>
      <c r="Z27" s="195">
        <v>65330</v>
      </c>
      <c r="AA27" s="195">
        <v>65330</v>
      </c>
      <c r="AB27" s="195">
        <v>65330</v>
      </c>
      <c r="AC27" s="195">
        <v>65330</v>
      </c>
      <c r="AD27" s="195">
        <v>65330</v>
      </c>
    </row>
    <row r="28" spans="1:34" x14ac:dyDescent="0.25">
      <c r="A28" s="8" t="s">
        <v>542</v>
      </c>
      <c r="B28" s="42"/>
      <c r="C28" s="42"/>
      <c r="D28" s="167"/>
      <c r="E28" s="167"/>
      <c r="F28" s="9"/>
      <c r="G28" s="195">
        <v>21000</v>
      </c>
      <c r="H28" s="195"/>
      <c r="I28" s="195"/>
      <c r="J28" s="195">
        <v>21000</v>
      </c>
      <c r="K28" s="195">
        <v>21000</v>
      </c>
      <c r="L28" s="195">
        <v>21000</v>
      </c>
      <c r="M28" s="195">
        <v>21000</v>
      </c>
      <c r="N28" s="195">
        <v>21000</v>
      </c>
      <c r="O28" s="195">
        <v>21000</v>
      </c>
      <c r="P28" s="195">
        <v>21000</v>
      </c>
      <c r="Q28" s="195">
        <v>21000</v>
      </c>
      <c r="R28" s="195">
        <v>21000</v>
      </c>
      <c r="S28" s="195">
        <v>21000</v>
      </c>
      <c r="T28" s="195">
        <v>21000</v>
      </c>
      <c r="U28" s="195">
        <v>21000</v>
      </c>
      <c r="V28" s="195">
        <v>21000</v>
      </c>
      <c r="W28" s="195">
        <v>21000</v>
      </c>
      <c r="X28" s="195">
        <v>21000</v>
      </c>
      <c r="Y28" s="195">
        <v>21000</v>
      </c>
      <c r="Z28" s="195">
        <v>21000</v>
      </c>
      <c r="AA28" s="195">
        <v>21000</v>
      </c>
      <c r="AB28" s="195">
        <v>21000</v>
      </c>
      <c r="AC28" s="195">
        <v>21000</v>
      </c>
      <c r="AD28" s="195">
        <v>21000</v>
      </c>
    </row>
    <row r="29" spans="1:34" x14ac:dyDescent="0.25">
      <c r="A29" s="8" t="s">
        <v>544</v>
      </c>
      <c r="B29" s="42"/>
      <c r="C29" s="42"/>
      <c r="D29" s="167"/>
      <c r="E29" s="167"/>
      <c r="F29" s="9"/>
      <c r="G29" s="195">
        <v>2870</v>
      </c>
      <c r="H29" s="195"/>
      <c r="I29" s="195"/>
      <c r="J29" s="195">
        <f t="shared" ref="J29:O29" si="20">895+1185</f>
        <v>2080</v>
      </c>
      <c r="K29" s="195">
        <f t="shared" si="20"/>
        <v>2080</v>
      </c>
      <c r="L29" s="195">
        <f t="shared" si="20"/>
        <v>2080</v>
      </c>
      <c r="M29" s="195">
        <f t="shared" si="20"/>
        <v>2080</v>
      </c>
      <c r="N29" s="195">
        <f t="shared" si="20"/>
        <v>2080</v>
      </c>
      <c r="O29" s="195">
        <f t="shared" si="20"/>
        <v>2080</v>
      </c>
      <c r="P29" s="195">
        <v>2080</v>
      </c>
      <c r="Q29" s="195">
        <v>2475</v>
      </c>
      <c r="R29" s="195">
        <v>2475</v>
      </c>
      <c r="S29" s="195">
        <v>2475</v>
      </c>
      <c r="T29" s="195">
        <v>2475</v>
      </c>
      <c r="U29" s="195">
        <v>2475</v>
      </c>
      <c r="V29" s="195">
        <v>2475</v>
      </c>
      <c r="W29" s="195">
        <v>2475</v>
      </c>
      <c r="X29" s="195">
        <v>2475</v>
      </c>
      <c r="Y29" s="195">
        <f t="shared" ref="Y29:AD29" si="21">1975+895</f>
        <v>2870</v>
      </c>
      <c r="Z29" s="195">
        <f t="shared" si="21"/>
        <v>2870</v>
      </c>
      <c r="AA29" s="195">
        <f t="shared" si="21"/>
        <v>2870</v>
      </c>
      <c r="AB29" s="195">
        <f t="shared" si="21"/>
        <v>2870</v>
      </c>
      <c r="AC29" s="195">
        <f t="shared" si="21"/>
        <v>2870</v>
      </c>
      <c r="AD29" s="195">
        <f t="shared" si="21"/>
        <v>2870</v>
      </c>
      <c r="AE29" t="s">
        <v>543</v>
      </c>
    </row>
    <row r="30" spans="1:34" x14ac:dyDescent="0.25">
      <c r="A30" s="215" t="s">
        <v>541</v>
      </c>
      <c r="B30" s="216"/>
      <c r="C30" s="216"/>
      <c r="D30" s="217"/>
      <c r="E30" s="217"/>
      <c r="F30" s="216"/>
      <c r="G30" s="217">
        <f t="shared" ref="G30" si="22">G22+G27+G28+G29</f>
        <v>116616.58</v>
      </c>
      <c r="H30" s="217"/>
      <c r="I30" s="217"/>
      <c r="J30" s="217">
        <f t="shared" ref="J30:O30" si="23">J22+J27+J28+J29</f>
        <v>71000</v>
      </c>
      <c r="K30" s="217">
        <f t="shared" si="23"/>
        <v>71610</v>
      </c>
      <c r="L30" s="217">
        <f t="shared" si="23"/>
        <v>72310</v>
      </c>
      <c r="M30" s="217">
        <f t="shared" si="23"/>
        <v>72692.5</v>
      </c>
      <c r="N30" s="217">
        <f t="shared" si="23"/>
        <v>72858.333333333343</v>
      </c>
      <c r="O30" s="217">
        <f t="shared" si="23"/>
        <v>73425</v>
      </c>
      <c r="P30" s="217">
        <f t="shared" ref="P30:Q30" si="24">P22+P27+P28+P29</f>
        <v>77353.333333333343</v>
      </c>
      <c r="Q30" s="217">
        <f t="shared" si="24"/>
        <v>78181.666666666657</v>
      </c>
      <c r="R30" s="217">
        <f t="shared" ref="R30:S30" si="25">R22+R27+R28+R29</f>
        <v>81621.666666666657</v>
      </c>
      <c r="S30" s="217">
        <f t="shared" si="25"/>
        <v>84651.666666666657</v>
      </c>
      <c r="T30" s="217">
        <f t="shared" ref="T30:U30" si="26">T22+T27+T28+T29</f>
        <v>91005.833333333328</v>
      </c>
      <c r="U30" s="217">
        <f t="shared" si="26"/>
        <v>96650</v>
      </c>
      <c r="V30" s="217">
        <f t="shared" ref="V30:W30" si="27">V22+V27+V28+V29</f>
        <v>110264.5</v>
      </c>
      <c r="W30" s="217">
        <f t="shared" si="27"/>
        <v>110736.16666666667</v>
      </c>
      <c r="X30" s="217">
        <f t="shared" ref="X30:Y30" si="28">X22+X27+X28+X29</f>
        <v>111106.16666666667</v>
      </c>
      <c r="Y30" s="217">
        <f t="shared" si="28"/>
        <v>113427</v>
      </c>
      <c r="Z30" s="217">
        <f t="shared" ref="Z30:AA30" si="29">Z22+Z27+Z28+Z29</f>
        <v>115574.5</v>
      </c>
      <c r="AA30" s="217">
        <f t="shared" si="29"/>
        <v>117199.91666666667</v>
      </c>
      <c r="AB30" s="217">
        <f t="shared" ref="AB30:AC30" si="30">AB22+AB27+AB28+AB29</f>
        <v>117388.25</v>
      </c>
      <c r="AC30" s="217">
        <f t="shared" si="30"/>
        <v>118616.58333333334</v>
      </c>
      <c r="AD30" s="217">
        <f t="shared" ref="AD30" si="31">AD22+AD27+AD28+AD29</f>
        <v>118616.58333333334</v>
      </c>
      <c r="AE30" s="44">
        <f>AD30-AD22</f>
        <v>89200</v>
      </c>
    </row>
    <row r="31" spans="1:34" x14ac:dyDescent="0.25">
      <c r="A31" s="1" t="s">
        <v>13</v>
      </c>
      <c r="B31" s="43">
        <f>SUM(B21:B25)</f>
        <v>478526</v>
      </c>
      <c r="C31" s="10">
        <f>SUM(C21:C25)</f>
        <v>686933</v>
      </c>
      <c r="D31" s="168"/>
      <c r="E31" s="10">
        <f>SUM(E21:E25)</f>
        <v>698817.25</v>
      </c>
      <c r="F31" s="10">
        <f t="shared" ref="F31" si="32">SUM(F21:F25)</f>
        <v>736813.25</v>
      </c>
      <c r="G31" s="168">
        <f t="shared" ref="G31" si="33">G26+G30</f>
        <v>855013.58</v>
      </c>
      <c r="H31" s="168">
        <f t="shared" ref="H31:I31" si="34">SUM(H21:H25)</f>
        <v>700</v>
      </c>
      <c r="I31" s="168">
        <f t="shared" si="34"/>
        <v>700</v>
      </c>
      <c r="J31" s="168">
        <f t="shared" ref="J31:O31" si="35">J26+J30</f>
        <v>566143.33333333326</v>
      </c>
      <c r="K31" s="168">
        <f t="shared" si="35"/>
        <v>568245</v>
      </c>
      <c r="L31" s="168">
        <f t="shared" si="35"/>
        <v>570322.33333333326</v>
      </c>
      <c r="M31" s="168">
        <f t="shared" si="35"/>
        <v>583330.66666666674</v>
      </c>
      <c r="N31" s="168">
        <f t="shared" si="35"/>
        <v>608289.00000000012</v>
      </c>
      <c r="O31" s="168">
        <f t="shared" si="35"/>
        <v>609761.5</v>
      </c>
      <c r="P31" s="168">
        <f t="shared" ref="P31:Q31" si="36">P26+P30</f>
        <v>599654.83333333337</v>
      </c>
      <c r="Q31" s="168">
        <f t="shared" si="36"/>
        <v>621639.83333333326</v>
      </c>
      <c r="R31" s="168">
        <f t="shared" ref="R31:S31" si="37">R26+R30</f>
        <v>640402.33333333326</v>
      </c>
      <c r="S31" s="168">
        <f t="shared" si="37"/>
        <v>650764</v>
      </c>
      <c r="T31" s="168">
        <f t="shared" ref="T31:U31" si="38">T26+T30</f>
        <v>667011.41666666674</v>
      </c>
      <c r="U31" s="168">
        <f t="shared" si="38"/>
        <v>700113.91666666663</v>
      </c>
      <c r="V31" s="168">
        <f t="shared" ref="V31:W31" si="39">V26+V30</f>
        <v>774346</v>
      </c>
      <c r="W31" s="168">
        <f t="shared" si="39"/>
        <v>786700.16666666663</v>
      </c>
      <c r="X31" s="168">
        <f t="shared" ref="X31:Y31" si="40">X26+X30</f>
        <v>806827.66666666663</v>
      </c>
      <c r="Y31" s="168">
        <f t="shared" si="40"/>
        <v>818834.90833333333</v>
      </c>
      <c r="Z31" s="168">
        <f t="shared" ref="Z31:AA31" si="41">Z26+Z30</f>
        <v>837657.07499999995</v>
      </c>
      <c r="AA31" s="168">
        <f t="shared" si="41"/>
        <v>846582.90833333333</v>
      </c>
      <c r="AB31" s="168">
        <f t="shared" ref="AB31:AC31" si="42">AB26+AB30</f>
        <v>852856.2416666667</v>
      </c>
      <c r="AC31" s="168">
        <f t="shared" si="42"/>
        <v>857013.90833333333</v>
      </c>
      <c r="AD31" s="168">
        <f t="shared" ref="AD31" si="43">AD26+AD30</f>
        <v>857013.90833333333</v>
      </c>
    </row>
    <row r="32" spans="1:34" x14ac:dyDescent="0.25">
      <c r="A32" s="6"/>
      <c r="B32" s="65"/>
      <c r="C32" s="98"/>
      <c r="D32" s="98"/>
      <c r="E32" s="98"/>
      <c r="F32" s="4"/>
      <c r="G32" s="169"/>
      <c r="H32" s="169"/>
      <c r="I32" s="169"/>
      <c r="J32" s="195">
        <f>J23+J24+J25+J27+J28+J29</f>
        <v>562000</v>
      </c>
      <c r="K32" s="169"/>
      <c r="L32" s="169"/>
      <c r="M32" s="195">
        <f>M23+M24+M25+M27+M28+M29</f>
        <v>573569</v>
      </c>
      <c r="N32" s="169"/>
      <c r="O32" s="195">
        <f>O23+O24+O25+O27+O28+O29</f>
        <v>596209</v>
      </c>
      <c r="P32" s="195">
        <f>P23+P24+P25+P27+P28+P29</f>
        <v>582664</v>
      </c>
      <c r="Q32" s="195">
        <f>Q23+Q24+Q25+Q27+Q28+Q29</f>
        <v>600054</v>
      </c>
      <c r="R32" s="195">
        <f>R23+R24+R25+R27+R28+R29</f>
        <v>614729</v>
      </c>
      <c r="S32" s="169"/>
      <c r="T32" s="195">
        <f>T23+T24+T25+T27+T28+T29</f>
        <v>617884</v>
      </c>
      <c r="U32" s="195">
        <f>U23+U24+U25+U27+U28+U29</f>
        <v>620874</v>
      </c>
      <c r="V32" s="195">
        <f>V23+V24+V25+V27+V28+V29</f>
        <v>626824</v>
      </c>
      <c r="W32" s="195"/>
      <c r="X32" s="195">
        <f>X23+X24+X25+X27+X28+X29</f>
        <v>640809</v>
      </c>
      <c r="Y32" s="195">
        <f t="shared" ref="Y32:AC32" si="44">Y23+Y24+Y25+Y27+Y28+Y29</f>
        <v>648344</v>
      </c>
      <c r="Z32" s="195">
        <f t="shared" si="44"/>
        <v>660734</v>
      </c>
      <c r="AA32" s="195">
        <f t="shared" si="44"/>
        <v>662114</v>
      </c>
      <c r="AB32" s="195">
        <f t="shared" si="44"/>
        <v>662114</v>
      </c>
      <c r="AC32" s="195">
        <f t="shared" si="44"/>
        <v>662114</v>
      </c>
      <c r="AD32" s="195"/>
      <c r="AE32" s="44"/>
    </row>
    <row r="33" spans="1:30" x14ac:dyDescent="0.25">
      <c r="A33" s="1" t="s">
        <v>14</v>
      </c>
      <c r="B33" s="2"/>
      <c r="C33" s="2"/>
      <c r="D33" s="165"/>
      <c r="E33" s="165"/>
      <c r="F33" s="2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</row>
    <row r="34" spans="1:30" x14ac:dyDescent="0.25">
      <c r="A34" s="3" t="s">
        <v>404</v>
      </c>
      <c r="B34" s="4">
        <v>0</v>
      </c>
      <c r="C34" s="4">
        <v>82</v>
      </c>
      <c r="D34" s="169">
        <v>81</v>
      </c>
      <c r="E34" s="169">
        <v>342</v>
      </c>
      <c r="F34" s="4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>
        <f>46</f>
        <v>46</v>
      </c>
      <c r="W34" s="169">
        <f>46</f>
        <v>46</v>
      </c>
      <c r="X34" s="169">
        <v>45</v>
      </c>
      <c r="Y34" s="169">
        <v>63</v>
      </c>
      <c r="Z34" s="169">
        <v>63</v>
      </c>
      <c r="AA34" s="169">
        <f>75+9</f>
        <v>84</v>
      </c>
      <c r="AB34" s="169">
        <f>75+9</f>
        <v>84</v>
      </c>
      <c r="AC34" s="169">
        <f>75+9</f>
        <v>84</v>
      </c>
      <c r="AD34" s="169">
        <f>75+9</f>
        <v>84</v>
      </c>
    </row>
    <row r="35" spans="1:30" x14ac:dyDescent="0.25">
      <c r="A35" s="3" t="s">
        <v>556</v>
      </c>
      <c r="B35" s="4">
        <v>0</v>
      </c>
      <c r="C35" s="4">
        <v>78</v>
      </c>
      <c r="D35" s="169">
        <v>94</v>
      </c>
      <c r="E35" s="169"/>
      <c r="F35" s="4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>
        <f>662-640</f>
        <v>22</v>
      </c>
      <c r="Y35" s="169">
        <v>6</v>
      </c>
      <c r="Z35" s="169">
        <f>10+5</f>
        <v>15</v>
      </c>
      <c r="AA35" s="169">
        <f>11+56</f>
        <v>67</v>
      </c>
      <c r="AB35" s="169">
        <f>11+56</f>
        <v>67</v>
      </c>
      <c r="AC35" s="169">
        <f>11+56</f>
        <v>67</v>
      </c>
      <c r="AD35" s="169">
        <f>11+56</f>
        <v>67</v>
      </c>
    </row>
    <row r="36" spans="1:30" x14ac:dyDescent="0.25">
      <c r="A36" s="6" t="s">
        <v>571</v>
      </c>
      <c r="B36" s="7"/>
      <c r="C36" s="7"/>
      <c r="D36" s="7"/>
      <c r="E36" s="7"/>
      <c r="F36" s="4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>
        <v>2</v>
      </c>
      <c r="Z36" s="169">
        <v>2</v>
      </c>
      <c r="AA36" s="169">
        <v>4</v>
      </c>
      <c r="AB36" s="169">
        <v>6</v>
      </c>
      <c r="AC36" s="169">
        <v>6</v>
      </c>
      <c r="AD36" s="169">
        <v>6</v>
      </c>
    </row>
    <row r="37" spans="1:30" x14ac:dyDescent="0.25">
      <c r="A37" s="11"/>
      <c r="B37" s="7"/>
      <c r="C37" s="7"/>
      <c r="D37" s="7"/>
      <c r="E37" s="7"/>
      <c r="F37" s="14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</row>
    <row r="38" spans="1:30" x14ac:dyDescent="0.25">
      <c r="A38" s="12" t="s">
        <v>21</v>
      </c>
      <c r="B38" s="2"/>
      <c r="C38" s="2"/>
      <c r="D38" s="165"/>
      <c r="E38" s="165"/>
      <c r="F38" s="13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 t="s">
        <v>555</v>
      </c>
      <c r="V38" s="196" t="s">
        <v>554</v>
      </c>
      <c r="W38" s="196" t="s">
        <v>554</v>
      </c>
      <c r="X38" s="196" t="s">
        <v>554</v>
      </c>
      <c r="Y38" s="196" t="s">
        <v>559</v>
      </c>
      <c r="Z38" s="196" t="s">
        <v>554</v>
      </c>
      <c r="AA38" s="196" t="s">
        <v>573</v>
      </c>
      <c r="AB38" s="196" t="s">
        <v>573</v>
      </c>
      <c r="AC38" s="196" t="s">
        <v>573</v>
      </c>
      <c r="AD38" s="196" t="s">
        <v>573</v>
      </c>
    </row>
    <row r="39" spans="1:30" x14ac:dyDescent="0.25">
      <c r="A39" s="3" t="s">
        <v>22</v>
      </c>
      <c r="B39" s="4"/>
      <c r="C39" s="4">
        <v>85</v>
      </c>
      <c r="D39" s="169">
        <v>30</v>
      </c>
      <c r="E39" s="169">
        <v>76</v>
      </c>
      <c r="F39" s="4">
        <f>57+6</f>
        <v>63</v>
      </c>
      <c r="G39" s="169">
        <v>49</v>
      </c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>
        <v>37</v>
      </c>
      <c r="W39" s="193">
        <v>37</v>
      </c>
      <c r="X39" s="193">
        <v>41</v>
      </c>
      <c r="Y39" s="193"/>
      <c r="Z39" s="193">
        <v>42</v>
      </c>
      <c r="AA39" s="193">
        <v>49</v>
      </c>
      <c r="AB39" s="193">
        <v>49</v>
      </c>
      <c r="AC39" s="193">
        <v>49</v>
      </c>
      <c r="AD39" s="193">
        <v>49</v>
      </c>
    </row>
    <row r="40" spans="1:30" x14ac:dyDescent="0.25">
      <c r="A40" s="3" t="s">
        <v>308</v>
      </c>
      <c r="B40" s="4"/>
      <c r="C40" s="4">
        <v>388</v>
      </c>
      <c r="D40" s="169">
        <v>196</v>
      </c>
      <c r="E40" s="169">
        <v>370</v>
      </c>
      <c r="F40" s="4">
        <f>245+159</f>
        <v>404</v>
      </c>
      <c r="G40" s="169">
        <v>274</v>
      </c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>
        <v>135</v>
      </c>
      <c r="W40" s="193">
        <v>135</v>
      </c>
      <c r="X40" s="193">
        <v>177</v>
      </c>
      <c r="Y40" s="193"/>
      <c r="Z40" s="193">
        <v>188</v>
      </c>
      <c r="AA40" s="193">
        <v>274</v>
      </c>
      <c r="AB40" s="193">
        <v>274</v>
      </c>
      <c r="AC40" s="193">
        <v>274</v>
      </c>
      <c r="AD40" s="193">
        <v>274</v>
      </c>
    </row>
    <row r="41" spans="1:30" x14ac:dyDescent="0.25">
      <c r="A41" s="3" t="s">
        <v>23</v>
      </c>
      <c r="B41" s="4"/>
      <c r="C41" s="4">
        <v>46</v>
      </c>
      <c r="D41" s="169">
        <v>15</v>
      </c>
      <c r="E41" s="169">
        <v>29</v>
      </c>
      <c r="F41" s="14">
        <f>15+13</f>
        <v>28</v>
      </c>
      <c r="G41" s="193">
        <v>31</v>
      </c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>
        <v>12</v>
      </c>
      <c r="W41" s="193">
        <v>12</v>
      </c>
      <c r="X41" s="193">
        <v>13</v>
      </c>
      <c r="Y41" s="193"/>
      <c r="Z41" s="193">
        <v>14</v>
      </c>
      <c r="AA41" s="193">
        <v>31</v>
      </c>
      <c r="AB41" s="193">
        <v>31</v>
      </c>
      <c r="AC41" s="193">
        <v>31</v>
      </c>
      <c r="AD41" s="193">
        <v>31</v>
      </c>
    </row>
    <row r="42" spans="1:30" x14ac:dyDescent="0.25">
      <c r="A42" s="3" t="s">
        <v>219</v>
      </c>
      <c r="B42" s="4"/>
      <c r="C42" s="4"/>
      <c r="D42" s="169">
        <v>88</v>
      </c>
      <c r="E42" s="169">
        <v>224</v>
      </c>
      <c r="F42" s="204">
        <f>242+24</f>
        <v>266</v>
      </c>
      <c r="G42" s="226">
        <v>220</v>
      </c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>
        <v>169</v>
      </c>
      <c r="W42" s="193">
        <v>169</v>
      </c>
      <c r="X42" s="193">
        <v>197</v>
      </c>
      <c r="Y42" s="193"/>
      <c r="Z42" s="193">
        <v>202</v>
      </c>
      <c r="AA42" s="193">
        <v>220</v>
      </c>
      <c r="AB42" s="193">
        <v>220</v>
      </c>
      <c r="AC42" s="193">
        <v>220</v>
      </c>
      <c r="AD42" s="193">
        <v>220</v>
      </c>
    </row>
    <row r="43" spans="1:30" x14ac:dyDescent="0.25">
      <c r="A43" s="3" t="s">
        <v>468</v>
      </c>
      <c r="B43" s="4"/>
      <c r="C43" s="4">
        <v>717</v>
      </c>
      <c r="D43" s="169"/>
      <c r="E43" s="169">
        <v>699</v>
      </c>
      <c r="F43" s="4"/>
      <c r="G43" s="169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>
        <v>120</v>
      </c>
      <c r="W43" s="193">
        <v>120</v>
      </c>
      <c r="X43" s="193">
        <v>144</v>
      </c>
      <c r="Y43" s="193"/>
      <c r="Z43" s="193">
        <v>184</v>
      </c>
      <c r="AA43" s="193"/>
      <c r="AB43" s="193"/>
      <c r="AC43" s="193"/>
      <c r="AD43" s="193"/>
    </row>
    <row r="44" spans="1:30" x14ac:dyDescent="0.25">
      <c r="A44" s="12" t="s">
        <v>24</v>
      </c>
      <c r="B44" s="2"/>
      <c r="C44" s="2"/>
      <c r="D44" s="165"/>
      <c r="E44" s="165"/>
      <c r="F44" s="13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 t="s">
        <v>559</v>
      </c>
      <c r="V44" s="196" t="s">
        <v>560</v>
      </c>
      <c r="W44" s="196" t="s">
        <v>560</v>
      </c>
      <c r="X44" s="196" t="s">
        <v>560</v>
      </c>
      <c r="Y44" s="196" t="s">
        <v>559</v>
      </c>
      <c r="Z44" s="196" t="s">
        <v>560</v>
      </c>
      <c r="AA44" s="196" t="s">
        <v>560</v>
      </c>
      <c r="AB44" s="196" t="s">
        <v>560</v>
      </c>
      <c r="AC44" s="196" t="s">
        <v>560</v>
      </c>
      <c r="AD44" s="196" t="s">
        <v>560</v>
      </c>
    </row>
    <row r="45" spans="1:30" x14ac:dyDescent="0.25">
      <c r="A45" s="3" t="s">
        <v>408</v>
      </c>
      <c r="B45" s="4"/>
      <c r="C45" s="4">
        <v>232</v>
      </c>
      <c r="D45" s="169">
        <v>188</v>
      </c>
      <c r="E45" s="169">
        <v>259</v>
      </c>
      <c r="F45" s="4">
        <f>135+7+5+10+5+7+6+2+1+11+2+3+5+2</f>
        <v>201</v>
      </c>
      <c r="G45" s="169">
        <v>201</v>
      </c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>
        <f>3+5+3+4</f>
        <v>15</v>
      </c>
      <c r="V45" s="193">
        <f>105+14+4+10+11+2+3+2+6</f>
        <v>157</v>
      </c>
      <c r="W45" s="193">
        <f>105+14+4+10+11+2+3+2+6</f>
        <v>157</v>
      </c>
      <c r="X45" s="193">
        <f>105+14+4+10+11+2+3+2+6</f>
        <v>157</v>
      </c>
      <c r="Y45" s="193">
        <f>3+5+3+4</f>
        <v>15</v>
      </c>
      <c r="Z45" s="193">
        <f>112+19+5+10+13+2+3+2+6+24+3+1+1</f>
        <v>201</v>
      </c>
      <c r="AA45" s="193">
        <f>112+19+5+10+13+2+3+2+6+24+3+1+1</f>
        <v>201</v>
      </c>
      <c r="AB45" s="193">
        <f>112+19+5+10+13+2+3+2+6+24+3+1+1</f>
        <v>201</v>
      </c>
      <c r="AC45" s="193">
        <f>112+19+5+10+13+2+3+2+6+24+3+1+1</f>
        <v>201</v>
      </c>
      <c r="AD45" s="193">
        <f>112+19+5+10+13+2+3+2+6+24+3+1+1</f>
        <v>201</v>
      </c>
    </row>
    <row r="46" spans="1:30" x14ac:dyDescent="0.25">
      <c r="A46" s="3" t="s">
        <v>407</v>
      </c>
      <c r="B46" s="4"/>
      <c r="C46" s="4">
        <v>194</v>
      </c>
      <c r="D46" s="169">
        <v>165</v>
      </c>
      <c r="E46" s="169">
        <v>168</v>
      </c>
      <c r="F46" s="14">
        <f>24+16+1+50+26+10+8+1+4+3+1</f>
        <v>144</v>
      </c>
      <c r="G46" s="193">
        <v>45</v>
      </c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>
        <f>8+11+3+5</f>
        <v>27</v>
      </c>
      <c r="V46" s="193">
        <f>12+3+1+6+8+5</f>
        <v>35</v>
      </c>
      <c r="W46" s="193">
        <f>12+3+1+6+8+5</f>
        <v>35</v>
      </c>
      <c r="X46" s="193">
        <f>12+3+1+6+8+5</f>
        <v>35</v>
      </c>
      <c r="Y46" s="193">
        <f>8+11+3+5</f>
        <v>27</v>
      </c>
      <c r="Z46" s="193">
        <f>12+3+1+9+9+6+1+1+2+1</f>
        <v>45</v>
      </c>
      <c r="AA46" s="193">
        <f>12+3+1+9+9+6+1+1+2+1</f>
        <v>45</v>
      </c>
      <c r="AB46" s="193">
        <f>12+3+1+9+9+6+1+1+2+1</f>
        <v>45</v>
      </c>
      <c r="AC46" s="193">
        <f>12+3+1+9+9+6+1+1+2+1</f>
        <v>45</v>
      </c>
      <c r="AD46" s="193">
        <f>12+3+1+9+9+6+1+1+2+1</f>
        <v>45</v>
      </c>
    </row>
    <row r="47" spans="1:30" x14ac:dyDescent="0.25">
      <c r="A47" s="3" t="s">
        <v>405</v>
      </c>
      <c r="B47" s="4"/>
      <c r="C47" s="4">
        <v>277</v>
      </c>
      <c r="D47" s="169">
        <v>212</v>
      </c>
      <c r="E47" s="169">
        <v>313</v>
      </c>
      <c r="F47" s="4">
        <f>99+28+11+49+42+15+5+5+2+41+15+9+7+8+6+4+6+14+15+7+1</f>
        <v>389</v>
      </c>
      <c r="G47" s="169">
        <v>415</v>
      </c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>
        <f>26+38+1+4+5</f>
        <v>74</v>
      </c>
      <c r="V47" s="193">
        <f>107+50+7+56+21+20+55+28+4</f>
        <v>348</v>
      </c>
      <c r="W47" s="193">
        <f>107+50+7+56+21+20+55+28+4</f>
        <v>348</v>
      </c>
      <c r="X47" s="193">
        <f>107+50+7+56+21+20+55+28+4</f>
        <v>348</v>
      </c>
      <c r="Y47" s="193">
        <f>26+38+1+4+5</f>
        <v>74</v>
      </c>
      <c r="Z47" s="193">
        <f>116+40+7+66+25+25+55+15+4+16+8+19+3+3+3+3+2+1+1+2+1</f>
        <v>415</v>
      </c>
      <c r="AA47" s="193">
        <f>116+40+7+66+25+25+55+15+4+16+8+19+3+3+3+3+2+1+1+2+1</f>
        <v>415</v>
      </c>
      <c r="AB47" s="193">
        <f>116+40+7+66+25+25+55+15+4+16+8+19+3+3+3+3+2+1+1+2+1</f>
        <v>415</v>
      </c>
      <c r="AC47" s="193">
        <f>116+40+7+66+25+25+55+15+4+16+8+19+3+3+3+3+2+1+1+2+1</f>
        <v>415</v>
      </c>
      <c r="AD47" s="193">
        <f>116+40+7+66+25+25+55+15+4+16+8+19+3+3+3+3+2+1+1+2+1</f>
        <v>415</v>
      </c>
    </row>
    <row r="48" spans="1:30" x14ac:dyDescent="0.25">
      <c r="A48" s="3" t="s">
        <v>406</v>
      </c>
      <c r="B48" s="4"/>
      <c r="C48" s="4">
        <v>76</v>
      </c>
      <c r="D48" s="169">
        <v>59</v>
      </c>
      <c r="E48" s="169">
        <v>85</v>
      </c>
      <c r="F48" s="4">
        <f>24+5+1+13+13+1+3+4+4</f>
        <v>68</v>
      </c>
      <c r="G48" s="169">
        <v>59</v>
      </c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>
        <v>9</v>
      </c>
      <c r="V48" s="193">
        <f>22+5+1+11+2+1</f>
        <v>42</v>
      </c>
      <c r="W48" s="193">
        <f>22+5+1+11+2+1</f>
        <v>42</v>
      </c>
      <c r="X48" s="193">
        <f>22+5+1+11+2+1</f>
        <v>42</v>
      </c>
      <c r="Y48" s="193">
        <v>9</v>
      </c>
      <c r="Z48" s="193">
        <f>25+4+1+13+4+3+8+1</f>
        <v>59</v>
      </c>
      <c r="AA48" s="193">
        <f>25+4+1+13+4+3+8+1</f>
        <v>59</v>
      </c>
      <c r="AB48" s="193">
        <f>25+4+1+13+4+3+8+1</f>
        <v>59</v>
      </c>
      <c r="AC48" s="193">
        <f>25+4+1+13+4+3+8+1</f>
        <v>59</v>
      </c>
      <c r="AD48" s="193">
        <f>25+4+1+13+4+3+8+1</f>
        <v>59</v>
      </c>
    </row>
    <row r="49" spans="1:30" x14ac:dyDescent="0.25">
      <c r="A49" s="15" t="s">
        <v>553</v>
      </c>
      <c r="B49" s="7"/>
      <c r="C49" s="7"/>
      <c r="D49" s="7"/>
      <c r="E49" s="7"/>
      <c r="F49" s="4"/>
      <c r="G49" s="169">
        <v>65</v>
      </c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>
        <v>23</v>
      </c>
      <c r="W49" s="193">
        <v>23</v>
      </c>
      <c r="X49" s="193">
        <v>23</v>
      </c>
      <c r="Y49" s="193"/>
      <c r="Z49" s="193">
        <f>3+1+17+44</f>
        <v>65</v>
      </c>
      <c r="AA49" s="193">
        <f>3+1+17+44</f>
        <v>65</v>
      </c>
      <c r="AB49" s="193">
        <f>3+1+17+44</f>
        <v>65</v>
      </c>
      <c r="AC49" s="193">
        <f>3+1+17+44</f>
        <v>65</v>
      </c>
      <c r="AD49" s="193">
        <f>3+1+17+44</f>
        <v>65</v>
      </c>
    </row>
    <row r="50" spans="1:30" x14ac:dyDescent="0.25">
      <c r="A50" s="15" t="s">
        <v>194</v>
      </c>
      <c r="B50" s="7"/>
      <c r="C50" s="7">
        <v>385</v>
      </c>
      <c r="D50" s="7">
        <v>169</v>
      </c>
      <c r="E50" s="7">
        <v>369</v>
      </c>
      <c r="F50" s="14">
        <v>325</v>
      </c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</row>
    <row r="51" spans="1:30" x14ac:dyDescent="0.25">
      <c r="A51" s="12" t="s">
        <v>567</v>
      </c>
      <c r="B51" s="7"/>
      <c r="C51" s="7"/>
      <c r="D51" s="7"/>
      <c r="E51" s="7"/>
    </row>
    <row r="52" spans="1:30" x14ac:dyDescent="0.25">
      <c r="A52" s="11" t="s">
        <v>568</v>
      </c>
      <c r="B52" s="7"/>
      <c r="C52" s="7"/>
      <c r="D52" s="7"/>
      <c r="E52" s="7"/>
      <c r="G52" s="7">
        <v>380</v>
      </c>
      <c r="X52">
        <v>361</v>
      </c>
      <c r="Z52">
        <v>380</v>
      </c>
      <c r="AA52">
        <v>380</v>
      </c>
      <c r="AB52">
        <v>380</v>
      </c>
      <c r="AC52">
        <v>380</v>
      </c>
      <c r="AD52">
        <v>380</v>
      </c>
    </row>
    <row r="53" spans="1:30" x14ac:dyDescent="0.25">
      <c r="A53" s="11" t="s">
        <v>569</v>
      </c>
      <c r="B53" s="7"/>
      <c r="C53" s="7"/>
      <c r="D53" s="7"/>
      <c r="E53" s="7"/>
      <c r="G53" s="7">
        <v>336</v>
      </c>
      <c r="X53" s="62">
        <v>285</v>
      </c>
      <c r="Z53" s="62">
        <v>336</v>
      </c>
      <c r="AA53" s="62">
        <v>336</v>
      </c>
      <c r="AB53" s="62">
        <v>336</v>
      </c>
      <c r="AC53" s="62">
        <v>336</v>
      </c>
      <c r="AD53" s="62">
        <v>336</v>
      </c>
    </row>
    <row r="54" spans="1:30" x14ac:dyDescent="0.25">
      <c r="A54" s="11" t="s">
        <v>570</v>
      </c>
      <c r="B54" s="7"/>
      <c r="C54" s="7"/>
      <c r="D54" s="7"/>
      <c r="E54" s="7"/>
      <c r="G54" s="7">
        <v>840</v>
      </c>
      <c r="X54">
        <v>536</v>
      </c>
      <c r="Z54">
        <v>840</v>
      </c>
      <c r="AA54">
        <v>840</v>
      </c>
      <c r="AB54">
        <v>840</v>
      </c>
      <c r="AC54">
        <v>840</v>
      </c>
      <c r="AD54">
        <v>840</v>
      </c>
    </row>
    <row r="55" spans="1:30" x14ac:dyDescent="0.25">
      <c r="A55" s="11"/>
      <c r="B55" s="7"/>
      <c r="C55" s="7"/>
      <c r="D55" s="7"/>
      <c r="E55" s="7"/>
      <c r="F55" s="174"/>
      <c r="G55" s="174"/>
    </row>
    <row r="56" spans="1:30" x14ac:dyDescent="0.25">
      <c r="A56" s="173" t="s">
        <v>418</v>
      </c>
      <c r="B56" s="2"/>
      <c r="C56" s="2"/>
      <c r="D56" s="2"/>
      <c r="E56" s="2"/>
      <c r="F56" s="2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>
        <f t="shared" ref="V56:AB56" si="45">SUM(V45:V55)</f>
        <v>605</v>
      </c>
      <c r="W56" s="165">
        <f t="shared" si="45"/>
        <v>605</v>
      </c>
      <c r="X56" s="165">
        <f t="shared" si="45"/>
        <v>1787</v>
      </c>
      <c r="Y56" s="165">
        <f t="shared" si="45"/>
        <v>125</v>
      </c>
      <c r="Z56" s="165">
        <f t="shared" si="45"/>
        <v>2341</v>
      </c>
      <c r="AA56" s="165">
        <f t="shared" si="45"/>
        <v>2341</v>
      </c>
      <c r="AB56" s="165">
        <f t="shared" si="45"/>
        <v>2341</v>
      </c>
      <c r="AC56" s="165">
        <f t="shared" ref="AC56:AD56" si="46">SUM(AC45:AC55)</f>
        <v>2341</v>
      </c>
      <c r="AD56" s="165">
        <f t="shared" si="46"/>
        <v>2341</v>
      </c>
    </row>
    <row r="57" spans="1:30" x14ac:dyDescent="0.25">
      <c r="B57" s="4"/>
      <c r="F57" s="14"/>
    </row>
    <row r="58" spans="1:30" x14ac:dyDescent="0.25">
      <c r="A58" t="s">
        <v>419</v>
      </c>
      <c r="B58" s="4"/>
      <c r="F58" s="14"/>
      <c r="U58" s="165" t="s">
        <v>559</v>
      </c>
      <c r="V58" s="165" t="s">
        <v>560</v>
      </c>
      <c r="W58" s="165" t="s">
        <v>560</v>
      </c>
      <c r="X58" s="165" t="s">
        <v>560</v>
      </c>
      <c r="Y58" s="165" t="s">
        <v>559</v>
      </c>
      <c r="Z58" s="165" t="s">
        <v>560</v>
      </c>
      <c r="AA58" s="165" t="s">
        <v>573</v>
      </c>
      <c r="AB58" s="165" t="s">
        <v>573</v>
      </c>
      <c r="AC58" s="165" t="s">
        <v>573</v>
      </c>
      <c r="AD58" s="165" t="s">
        <v>573</v>
      </c>
    </row>
    <row r="59" spans="1:30" x14ac:dyDescent="0.25">
      <c r="A59" t="s">
        <v>420</v>
      </c>
      <c r="B59" s="4"/>
      <c r="D59">
        <v>294</v>
      </c>
      <c r="E59">
        <v>305</v>
      </c>
      <c r="G59">
        <v>340</v>
      </c>
      <c r="P59">
        <v>14</v>
      </c>
      <c r="Q59">
        <v>14</v>
      </c>
      <c r="R59">
        <v>14</v>
      </c>
      <c r="S59">
        <v>14</v>
      </c>
      <c r="T59">
        <v>14</v>
      </c>
      <c r="U59">
        <v>32</v>
      </c>
      <c r="V59">
        <f>156</f>
        <v>156</v>
      </c>
      <c r="W59">
        <f>156</f>
        <v>156</v>
      </c>
      <c r="X59">
        <v>194</v>
      </c>
      <c r="Y59">
        <v>36</v>
      </c>
      <c r="Z59">
        <v>221</v>
      </c>
      <c r="AA59">
        <v>340</v>
      </c>
      <c r="AB59">
        <v>340</v>
      </c>
      <c r="AC59">
        <v>340</v>
      </c>
      <c r="AD59">
        <v>340</v>
      </c>
    </row>
    <row r="60" spans="1:30" x14ac:dyDescent="0.25">
      <c r="A60" t="s">
        <v>421</v>
      </c>
      <c r="B60" s="4"/>
      <c r="D60">
        <v>34</v>
      </c>
      <c r="E60">
        <v>38</v>
      </c>
      <c r="G60">
        <v>37</v>
      </c>
      <c r="P60">
        <v>2</v>
      </c>
      <c r="Q60">
        <v>2</v>
      </c>
      <c r="R60">
        <v>2</v>
      </c>
      <c r="S60">
        <v>2</v>
      </c>
      <c r="T60">
        <v>2</v>
      </c>
      <c r="U60">
        <v>7</v>
      </c>
      <c r="V60">
        <f>21</f>
        <v>21</v>
      </c>
      <c r="W60">
        <f>21</f>
        <v>21</v>
      </c>
      <c r="X60">
        <v>24</v>
      </c>
      <c r="Y60">
        <v>10</v>
      </c>
      <c r="Z60">
        <v>28</v>
      </c>
      <c r="AA60">
        <v>37</v>
      </c>
      <c r="AB60">
        <v>37</v>
      </c>
      <c r="AC60">
        <v>37</v>
      </c>
      <c r="AD60">
        <v>37</v>
      </c>
    </row>
    <row r="61" spans="1:30" x14ac:dyDescent="0.25">
      <c r="A61" t="s">
        <v>422</v>
      </c>
      <c r="B61" s="7"/>
      <c r="D61">
        <v>156</v>
      </c>
      <c r="E61">
        <v>147</v>
      </c>
      <c r="G61">
        <v>163</v>
      </c>
      <c r="P61">
        <v>5</v>
      </c>
      <c r="Q61">
        <v>5</v>
      </c>
      <c r="R61">
        <v>5</v>
      </c>
      <c r="S61">
        <v>5</v>
      </c>
      <c r="T61">
        <v>5</v>
      </c>
      <c r="U61">
        <v>20</v>
      </c>
      <c r="V61">
        <v>91</v>
      </c>
      <c r="W61">
        <v>91</v>
      </c>
      <c r="X61">
        <v>98</v>
      </c>
      <c r="Y61">
        <v>23</v>
      </c>
      <c r="Z61">
        <v>98</v>
      </c>
      <c r="AA61">
        <v>163</v>
      </c>
      <c r="AB61">
        <v>163</v>
      </c>
      <c r="AC61">
        <v>163</v>
      </c>
      <c r="AD61">
        <v>163</v>
      </c>
    </row>
    <row r="62" spans="1:30" x14ac:dyDescent="0.25">
      <c r="A62" t="s">
        <v>423</v>
      </c>
      <c r="D62">
        <v>83</v>
      </c>
      <c r="E62">
        <v>101</v>
      </c>
      <c r="G62">
        <v>119</v>
      </c>
      <c r="P62">
        <v>5</v>
      </c>
      <c r="Q62">
        <v>5</v>
      </c>
      <c r="R62">
        <v>5</v>
      </c>
      <c r="S62">
        <v>5</v>
      </c>
      <c r="T62">
        <v>5</v>
      </c>
      <c r="U62">
        <v>8</v>
      </c>
      <c r="V62">
        <v>77</v>
      </c>
      <c r="W62">
        <v>77</v>
      </c>
      <c r="X62">
        <v>86</v>
      </c>
      <c r="Y62">
        <v>18</v>
      </c>
      <c r="Z62">
        <v>101</v>
      </c>
      <c r="AA62">
        <v>119</v>
      </c>
      <c r="AB62">
        <v>119</v>
      </c>
      <c r="AC62">
        <v>119</v>
      </c>
      <c r="AD62">
        <v>119</v>
      </c>
    </row>
    <row r="63" spans="1:30" x14ac:dyDescent="0.25">
      <c r="A63" t="s">
        <v>424</v>
      </c>
      <c r="D63">
        <v>53</v>
      </c>
      <c r="E63">
        <v>64</v>
      </c>
      <c r="G63">
        <v>74</v>
      </c>
      <c r="P63">
        <v>5</v>
      </c>
      <c r="Q63">
        <v>5</v>
      </c>
      <c r="R63">
        <v>5</v>
      </c>
      <c r="S63">
        <v>5</v>
      </c>
      <c r="T63">
        <v>5</v>
      </c>
      <c r="U63">
        <v>10</v>
      </c>
      <c r="V63">
        <v>43</v>
      </c>
      <c r="W63">
        <v>43</v>
      </c>
      <c r="X63">
        <v>54</v>
      </c>
      <c r="Y63">
        <v>19</v>
      </c>
      <c r="Z63">
        <v>61</v>
      </c>
      <c r="AA63">
        <v>74</v>
      </c>
      <c r="AB63">
        <v>74</v>
      </c>
      <c r="AC63">
        <v>74</v>
      </c>
      <c r="AD63">
        <v>74</v>
      </c>
    </row>
    <row r="64" spans="1:30" x14ac:dyDescent="0.25">
      <c r="A64" t="s">
        <v>425</v>
      </c>
      <c r="D64">
        <v>35</v>
      </c>
      <c r="E64">
        <v>37</v>
      </c>
      <c r="G64">
        <v>65</v>
      </c>
      <c r="P64">
        <v>6</v>
      </c>
      <c r="Q64">
        <v>6</v>
      </c>
      <c r="R64">
        <v>6</v>
      </c>
      <c r="S64">
        <v>6</v>
      </c>
      <c r="T64">
        <v>6</v>
      </c>
      <c r="U64">
        <v>6</v>
      </c>
      <c r="V64">
        <v>37</v>
      </c>
      <c r="W64">
        <v>37</v>
      </c>
      <c r="X64">
        <v>38</v>
      </c>
      <c r="Y64">
        <v>13</v>
      </c>
      <c r="Z64">
        <v>39</v>
      </c>
      <c r="AA64">
        <v>65</v>
      </c>
      <c r="AB64">
        <v>65</v>
      </c>
      <c r="AC64">
        <v>65</v>
      </c>
      <c r="AD64">
        <v>65</v>
      </c>
    </row>
    <row r="65" spans="1:30" x14ac:dyDescent="0.25">
      <c r="A65" t="s">
        <v>426</v>
      </c>
      <c r="D65">
        <v>188</v>
      </c>
      <c r="E65">
        <v>299</v>
      </c>
      <c r="G65">
        <v>238</v>
      </c>
      <c r="P65">
        <v>6</v>
      </c>
      <c r="Q65">
        <v>6</v>
      </c>
      <c r="R65">
        <v>6</v>
      </c>
      <c r="S65">
        <v>6</v>
      </c>
      <c r="T65">
        <v>6</v>
      </c>
      <c r="U65">
        <v>28</v>
      </c>
      <c r="V65">
        <v>146</v>
      </c>
      <c r="W65">
        <v>146</v>
      </c>
      <c r="X65">
        <v>197</v>
      </c>
      <c r="Y65">
        <v>40</v>
      </c>
      <c r="Z65">
        <v>224</v>
      </c>
      <c r="AA65">
        <v>238</v>
      </c>
      <c r="AB65">
        <v>238</v>
      </c>
      <c r="AC65">
        <v>238</v>
      </c>
      <c r="AD65">
        <v>238</v>
      </c>
    </row>
    <row r="66" spans="1:30" x14ac:dyDescent="0.25">
      <c r="A66" t="s">
        <v>427</v>
      </c>
      <c r="D66">
        <v>216</v>
      </c>
      <c r="E66">
        <v>133</v>
      </c>
      <c r="G66">
        <v>151</v>
      </c>
      <c r="P66">
        <v>5</v>
      </c>
      <c r="Q66">
        <v>5</v>
      </c>
      <c r="R66">
        <v>5</v>
      </c>
      <c r="S66">
        <v>5</v>
      </c>
      <c r="T66">
        <v>5</v>
      </c>
      <c r="U66">
        <v>13</v>
      </c>
      <c r="V66">
        <v>97</v>
      </c>
      <c r="W66">
        <v>97</v>
      </c>
      <c r="X66">
        <v>107</v>
      </c>
      <c r="Y66">
        <v>26</v>
      </c>
      <c r="Z66">
        <v>107</v>
      </c>
      <c r="AA66">
        <v>151</v>
      </c>
      <c r="AB66">
        <v>151</v>
      </c>
      <c r="AC66">
        <v>151</v>
      </c>
      <c r="AD66">
        <v>151</v>
      </c>
    </row>
    <row r="67" spans="1:30" x14ac:dyDescent="0.25">
      <c r="A67" t="s">
        <v>428</v>
      </c>
      <c r="D67">
        <v>96</v>
      </c>
      <c r="E67">
        <v>113</v>
      </c>
      <c r="G67">
        <v>100</v>
      </c>
      <c r="P67">
        <v>3</v>
      </c>
      <c r="Q67">
        <v>3</v>
      </c>
      <c r="R67">
        <v>3</v>
      </c>
      <c r="S67">
        <v>3</v>
      </c>
      <c r="T67">
        <v>3</v>
      </c>
      <c r="U67">
        <v>12</v>
      </c>
      <c r="V67">
        <v>66</v>
      </c>
      <c r="W67">
        <v>66</v>
      </c>
      <c r="X67">
        <v>73</v>
      </c>
      <c r="Y67">
        <v>19</v>
      </c>
      <c r="Z67">
        <v>80</v>
      </c>
      <c r="AA67">
        <v>100</v>
      </c>
      <c r="AB67">
        <v>100</v>
      </c>
      <c r="AC67">
        <v>100</v>
      </c>
      <c r="AD67">
        <v>100</v>
      </c>
    </row>
    <row r="69" spans="1:30" x14ac:dyDescent="0.25">
      <c r="A69" t="s">
        <v>429</v>
      </c>
      <c r="D69">
        <v>82</v>
      </c>
      <c r="E69">
        <v>71</v>
      </c>
      <c r="G69">
        <v>58</v>
      </c>
      <c r="U69">
        <v>4</v>
      </c>
      <c r="V69">
        <v>43</v>
      </c>
      <c r="W69">
        <v>43</v>
      </c>
      <c r="X69">
        <v>48</v>
      </c>
      <c r="Y69">
        <v>9</v>
      </c>
      <c r="Z69">
        <v>50</v>
      </c>
      <c r="AA69">
        <v>58</v>
      </c>
      <c r="AB69">
        <v>58</v>
      </c>
      <c r="AC69">
        <v>58</v>
      </c>
      <c r="AD69">
        <v>58</v>
      </c>
    </row>
    <row r="70" spans="1:30" x14ac:dyDescent="0.25">
      <c r="A70" s="11" t="s">
        <v>430</v>
      </c>
      <c r="D70">
        <v>30</v>
      </c>
      <c r="E70">
        <v>57</v>
      </c>
      <c r="G70">
        <v>40</v>
      </c>
      <c r="O70" s="11"/>
      <c r="P70">
        <v>2</v>
      </c>
      <c r="Q70">
        <v>2</v>
      </c>
      <c r="R70">
        <v>2</v>
      </c>
      <c r="S70">
        <v>2</v>
      </c>
      <c r="T70">
        <v>2</v>
      </c>
      <c r="U70">
        <v>7</v>
      </c>
      <c r="V70">
        <v>26</v>
      </c>
      <c r="W70">
        <v>26</v>
      </c>
      <c r="X70">
        <v>26</v>
      </c>
      <c r="Y70">
        <v>10</v>
      </c>
      <c r="Z70">
        <v>27</v>
      </c>
      <c r="AA70">
        <v>40</v>
      </c>
      <c r="AB70">
        <v>40</v>
      </c>
      <c r="AC70">
        <v>40</v>
      </c>
      <c r="AD70">
        <v>40</v>
      </c>
    </row>
    <row r="71" spans="1:30" x14ac:dyDescent="0.25">
      <c r="A71" s="11" t="s">
        <v>431</v>
      </c>
      <c r="D71">
        <v>14</v>
      </c>
      <c r="E71">
        <v>24</v>
      </c>
      <c r="G71">
        <v>33</v>
      </c>
      <c r="O71" s="11"/>
      <c r="U71">
        <v>6</v>
      </c>
      <c r="V71">
        <v>22</v>
      </c>
      <c r="W71">
        <v>22</v>
      </c>
      <c r="X71">
        <v>25</v>
      </c>
      <c r="Y71">
        <v>7</v>
      </c>
      <c r="Z71">
        <v>26</v>
      </c>
      <c r="AA71">
        <v>33</v>
      </c>
      <c r="AB71">
        <v>33</v>
      </c>
      <c r="AC71">
        <v>33</v>
      </c>
      <c r="AD71">
        <v>33</v>
      </c>
    </row>
    <row r="72" spans="1:30" x14ac:dyDescent="0.25">
      <c r="A72" t="s">
        <v>549</v>
      </c>
      <c r="G72">
        <v>9</v>
      </c>
      <c r="P72">
        <v>2</v>
      </c>
      <c r="Q72">
        <v>2</v>
      </c>
      <c r="R72">
        <v>2</v>
      </c>
      <c r="S72">
        <v>2</v>
      </c>
      <c r="T72">
        <v>2</v>
      </c>
      <c r="V72">
        <v>2</v>
      </c>
      <c r="W72">
        <v>2</v>
      </c>
      <c r="X72">
        <v>2</v>
      </c>
      <c r="Z72">
        <v>2</v>
      </c>
      <c r="AA72">
        <v>9</v>
      </c>
      <c r="AB72">
        <v>9</v>
      </c>
      <c r="AC72">
        <v>9</v>
      </c>
      <c r="AD72">
        <v>9</v>
      </c>
    </row>
    <row r="73" spans="1:30" x14ac:dyDescent="0.25">
      <c r="A73" t="s">
        <v>432</v>
      </c>
      <c r="E73">
        <v>105</v>
      </c>
      <c r="G73">
        <v>91</v>
      </c>
      <c r="P73">
        <v>13</v>
      </c>
      <c r="Q73">
        <v>13</v>
      </c>
      <c r="R73">
        <v>13</v>
      </c>
      <c r="S73">
        <v>13</v>
      </c>
      <c r="T73">
        <v>13</v>
      </c>
      <c r="U73">
        <v>9</v>
      </c>
      <c r="V73">
        <v>64</v>
      </c>
      <c r="W73">
        <v>64</v>
      </c>
      <c r="X73">
        <v>72</v>
      </c>
      <c r="Y73">
        <v>16</v>
      </c>
      <c r="Z73">
        <v>77</v>
      </c>
      <c r="AA73">
        <v>91</v>
      </c>
      <c r="AB73">
        <v>91</v>
      </c>
      <c r="AC73">
        <v>91</v>
      </c>
      <c r="AD73">
        <v>91</v>
      </c>
    </row>
    <row r="74" spans="1:30" x14ac:dyDescent="0.25">
      <c r="A74" s="6" t="s">
        <v>409</v>
      </c>
    </row>
    <row r="79" spans="1:30" x14ac:dyDescent="0.25">
      <c r="A79" t="s">
        <v>410</v>
      </c>
    </row>
    <row r="87" spans="1:30" x14ac:dyDescent="0.25">
      <c r="A87" s="12" t="s">
        <v>558</v>
      </c>
      <c r="B87" s="2"/>
      <c r="C87" s="2"/>
      <c r="D87" s="165"/>
      <c r="E87" s="165"/>
      <c r="F87" s="13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 t="s">
        <v>559</v>
      </c>
      <c r="V87" s="196" t="s">
        <v>560</v>
      </c>
      <c r="W87" s="196" t="s">
        <v>560</v>
      </c>
      <c r="X87" s="196" t="s">
        <v>560</v>
      </c>
      <c r="Y87" s="196" t="s">
        <v>560</v>
      </c>
      <c r="Z87" s="196" t="s">
        <v>560</v>
      </c>
      <c r="AA87" s="196" t="s">
        <v>560</v>
      </c>
      <c r="AB87" s="196" t="s">
        <v>560</v>
      </c>
      <c r="AC87" s="196" t="s">
        <v>560</v>
      </c>
      <c r="AD87" s="196" t="s">
        <v>560</v>
      </c>
    </row>
    <row r="88" spans="1:30" x14ac:dyDescent="0.25">
      <c r="A88" s="3" t="s">
        <v>561</v>
      </c>
      <c r="B88" s="4"/>
      <c r="C88" s="4">
        <v>232</v>
      </c>
      <c r="D88" s="169">
        <v>188</v>
      </c>
      <c r="E88" s="169"/>
      <c r="F88" s="4"/>
      <c r="G88" s="169">
        <v>330</v>
      </c>
      <c r="H88" s="193"/>
      <c r="I88" s="193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>
        <f>3+8+26+2</f>
        <v>39</v>
      </c>
      <c r="V88" s="193">
        <f t="shared" ref="V88:AD88" si="47">113+12+112+23+12+55+3</f>
        <v>330</v>
      </c>
      <c r="W88" s="193">
        <f t="shared" si="47"/>
        <v>330</v>
      </c>
      <c r="X88" s="193">
        <f t="shared" si="47"/>
        <v>330</v>
      </c>
      <c r="Y88" s="193">
        <f t="shared" si="47"/>
        <v>330</v>
      </c>
      <c r="Z88" s="193">
        <f t="shared" si="47"/>
        <v>330</v>
      </c>
      <c r="AA88" s="193">
        <f t="shared" si="47"/>
        <v>330</v>
      </c>
      <c r="AB88" s="193">
        <f t="shared" si="47"/>
        <v>330</v>
      </c>
      <c r="AC88" s="193">
        <f t="shared" si="47"/>
        <v>330</v>
      </c>
      <c r="AD88" s="193">
        <f t="shared" si="47"/>
        <v>330</v>
      </c>
    </row>
    <row r="89" spans="1:30" x14ac:dyDescent="0.25">
      <c r="A89" s="3" t="s">
        <v>562</v>
      </c>
      <c r="B89" s="4"/>
      <c r="C89" s="4">
        <v>194</v>
      </c>
      <c r="D89" s="169">
        <v>165</v>
      </c>
      <c r="E89" s="169"/>
      <c r="F89" s="14"/>
      <c r="G89" s="193">
        <v>516</v>
      </c>
      <c r="H89" s="193"/>
      <c r="I89" s="193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>
        <v>118</v>
      </c>
      <c r="V89" s="193">
        <v>516</v>
      </c>
      <c r="W89" s="193">
        <v>516</v>
      </c>
      <c r="X89" s="193">
        <v>516</v>
      </c>
      <c r="Y89" s="193">
        <v>516</v>
      </c>
      <c r="Z89" s="193">
        <v>516</v>
      </c>
      <c r="AA89" s="193">
        <v>516</v>
      </c>
      <c r="AB89" s="193">
        <v>516</v>
      </c>
      <c r="AC89" s="193">
        <v>516</v>
      </c>
      <c r="AD89" s="193">
        <v>516</v>
      </c>
    </row>
    <row r="90" spans="1:30" x14ac:dyDescent="0.25">
      <c r="A90" s="3" t="s">
        <v>563</v>
      </c>
      <c r="B90" s="4"/>
      <c r="C90" s="4">
        <v>277</v>
      </c>
      <c r="D90" s="169">
        <v>212</v>
      </c>
      <c r="E90" s="169"/>
      <c r="F90" s="4"/>
      <c r="G90" s="169">
        <v>472</v>
      </c>
      <c r="H90" s="193"/>
      <c r="I90" s="193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>
        <v>123</v>
      </c>
      <c r="V90" s="193">
        <v>472</v>
      </c>
      <c r="W90" s="193">
        <v>472</v>
      </c>
      <c r="X90" s="193">
        <v>472</v>
      </c>
      <c r="Y90" s="193">
        <v>472</v>
      </c>
      <c r="Z90" s="193">
        <v>472</v>
      </c>
      <c r="AA90" s="193">
        <v>472</v>
      </c>
      <c r="AB90" s="193">
        <v>472</v>
      </c>
      <c r="AC90" s="193">
        <v>472</v>
      </c>
      <c r="AD90" s="193">
        <v>472</v>
      </c>
    </row>
    <row r="91" spans="1:30" x14ac:dyDescent="0.25">
      <c r="A91" s="3" t="s">
        <v>564</v>
      </c>
      <c r="B91" s="4"/>
      <c r="C91" s="4">
        <v>277</v>
      </c>
      <c r="D91" s="169">
        <v>212</v>
      </c>
      <c r="E91" s="169"/>
      <c r="F91" s="4"/>
      <c r="G91" s="169">
        <v>372</v>
      </c>
      <c r="H91" s="193"/>
      <c r="I91" s="193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>
        <v>41</v>
      </c>
      <c r="V91" s="193">
        <v>372</v>
      </c>
      <c r="W91" s="193">
        <v>372</v>
      </c>
      <c r="X91" s="193">
        <v>372</v>
      </c>
      <c r="Y91" s="193">
        <v>372</v>
      </c>
      <c r="Z91" s="193">
        <v>372</v>
      </c>
      <c r="AA91" s="193">
        <v>372</v>
      </c>
      <c r="AB91" s="193">
        <v>372</v>
      </c>
      <c r="AC91" s="193">
        <v>372</v>
      </c>
      <c r="AD91" s="193">
        <v>372</v>
      </c>
    </row>
    <row r="92" spans="1:30" x14ac:dyDescent="0.25">
      <c r="G92" t="s">
        <v>576</v>
      </c>
      <c r="V92" t="s">
        <v>565</v>
      </c>
      <c r="W92" t="s">
        <v>565</v>
      </c>
      <c r="X92" t="s">
        <v>565</v>
      </c>
      <c r="Y92" t="s">
        <v>565</v>
      </c>
      <c r="Z92" t="s">
        <v>565</v>
      </c>
      <c r="AA92" t="s">
        <v>565</v>
      </c>
      <c r="AB92" t="s">
        <v>565</v>
      </c>
      <c r="AC92" t="s">
        <v>565</v>
      </c>
      <c r="AD92" t="s">
        <v>565</v>
      </c>
    </row>
    <row r="94" spans="1:30" x14ac:dyDescent="0.25">
      <c r="A94" s="6"/>
    </row>
    <row r="95" spans="1:30" x14ac:dyDescent="0.25">
      <c r="A95" s="6"/>
    </row>
    <row r="96" spans="1:30" x14ac:dyDescent="0.25">
      <c r="A96" s="6"/>
    </row>
  </sheetData>
  <pageMargins left="0.75" right="0.75" top="1" bottom="1" header="0.5" footer="0.5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65"/>
  <sheetViews>
    <sheetView workbookViewId="0">
      <pane xSplit="1" ySplit="3" topLeftCell="X7" activePane="bottomRight" state="frozen"/>
      <selection pane="topRight" activeCell="B1" sqref="B1"/>
      <selection pane="bottomLeft" activeCell="A4" sqref="A4"/>
      <selection pane="bottomRight" activeCell="AB31" sqref="AB31"/>
    </sheetView>
  </sheetViews>
  <sheetFormatPr defaultColWidth="8.7109375" defaultRowHeight="15" x14ac:dyDescent="0.25"/>
  <cols>
    <col min="1" max="1" width="22.7109375" customWidth="1"/>
    <col min="2" max="2" width="12.7109375" bestFit="1" customWidth="1"/>
    <col min="3" max="5" width="12.7109375" customWidth="1"/>
    <col min="6" max="6" width="12.7109375" bestFit="1" customWidth="1"/>
    <col min="7" max="27" width="12.7109375" customWidth="1"/>
    <col min="28" max="28" width="11.7109375" bestFit="1" customWidth="1"/>
    <col min="29" max="29" width="9.140625" customWidth="1"/>
    <col min="30" max="30" width="7.7109375" customWidth="1"/>
  </cols>
  <sheetData>
    <row r="1" spans="1:34" ht="15.75" x14ac:dyDescent="0.25">
      <c r="A1" s="178" t="s">
        <v>481</v>
      </c>
      <c r="B1" s="142"/>
      <c r="C1" s="143"/>
      <c r="D1" s="143"/>
      <c r="E1" s="143"/>
      <c r="F1" s="179" t="s">
        <v>1</v>
      </c>
      <c r="G1" s="197" t="s">
        <v>1</v>
      </c>
      <c r="H1" s="197" t="s">
        <v>1</v>
      </c>
      <c r="I1" s="197" t="s">
        <v>1</v>
      </c>
      <c r="J1" s="197" t="s">
        <v>103</v>
      </c>
      <c r="K1" s="197" t="s">
        <v>1</v>
      </c>
      <c r="L1" s="197" t="s">
        <v>1</v>
      </c>
      <c r="M1" s="197" t="s">
        <v>1</v>
      </c>
      <c r="N1" s="197" t="s">
        <v>1</v>
      </c>
      <c r="O1" s="197" t="s">
        <v>1</v>
      </c>
      <c r="P1" s="197" t="s">
        <v>1</v>
      </c>
      <c r="Q1" s="197" t="s">
        <v>1</v>
      </c>
      <c r="R1" s="197" t="s">
        <v>1</v>
      </c>
      <c r="S1" s="197" t="s">
        <v>1</v>
      </c>
      <c r="T1" s="197" t="s">
        <v>1</v>
      </c>
      <c r="U1" s="197" t="s">
        <v>1</v>
      </c>
      <c r="V1" s="197" t="s">
        <v>1</v>
      </c>
      <c r="W1" s="197" t="s">
        <v>1</v>
      </c>
      <c r="X1" s="197" t="s">
        <v>1</v>
      </c>
      <c r="Y1" s="197" t="s">
        <v>1</v>
      </c>
      <c r="Z1" s="197" t="s">
        <v>362</v>
      </c>
      <c r="AA1" s="197" t="s">
        <v>1</v>
      </c>
    </row>
    <row r="2" spans="1:34" ht="15.75" x14ac:dyDescent="0.25">
      <c r="A2" s="178" t="s">
        <v>2</v>
      </c>
      <c r="B2" s="144" t="s">
        <v>17</v>
      </c>
      <c r="C2" s="144" t="s">
        <v>216</v>
      </c>
      <c r="D2" s="144" t="s">
        <v>333</v>
      </c>
      <c r="E2" s="144" t="s">
        <v>333</v>
      </c>
      <c r="F2" s="191">
        <v>41983</v>
      </c>
      <c r="G2" s="180">
        <f>F2+30</f>
        <v>42013</v>
      </c>
      <c r="H2" s="180">
        <f>G2+7</f>
        <v>42020</v>
      </c>
      <c r="I2" s="180">
        <f>H2+7</f>
        <v>42027</v>
      </c>
      <c r="J2" s="180">
        <f>I2+13</f>
        <v>42040</v>
      </c>
      <c r="K2" s="180">
        <f>J2+8</f>
        <v>42048</v>
      </c>
      <c r="L2" s="180">
        <f>K2+8</f>
        <v>42056</v>
      </c>
      <c r="M2" s="180">
        <f>L2+13</f>
        <v>42069</v>
      </c>
      <c r="N2" s="180">
        <f>M2+7</f>
        <v>42076</v>
      </c>
      <c r="O2" s="180">
        <f>N2+7</f>
        <v>42083</v>
      </c>
      <c r="P2" s="180">
        <f>O2+7</f>
        <v>42090</v>
      </c>
      <c r="Q2" s="180">
        <f>P2+21</f>
        <v>42111</v>
      </c>
      <c r="R2" s="180">
        <f>Q2+7</f>
        <v>42118</v>
      </c>
      <c r="S2" s="135">
        <f>R2+7</f>
        <v>42125</v>
      </c>
      <c r="T2" s="206">
        <f>S2+7</f>
        <v>42132</v>
      </c>
      <c r="U2" s="206">
        <f>T2+7</f>
        <v>42139</v>
      </c>
      <c r="V2" s="206">
        <f>U2+11</f>
        <v>42150</v>
      </c>
      <c r="W2" s="206">
        <f>V2+10</f>
        <v>42160</v>
      </c>
      <c r="X2" s="206">
        <f>W2+7</f>
        <v>42167</v>
      </c>
      <c r="Y2" s="206">
        <f>X2+7</f>
        <v>42174</v>
      </c>
      <c r="Z2" s="206">
        <f>Y2+3</f>
        <v>42177</v>
      </c>
      <c r="AA2" s="206">
        <f>Z2+4</f>
        <v>42181</v>
      </c>
      <c r="AB2" s="172" t="s">
        <v>513</v>
      </c>
    </row>
    <row r="3" spans="1:34" x14ac:dyDescent="0.25">
      <c r="A3" s="12" t="s">
        <v>15</v>
      </c>
      <c r="B3" s="38">
        <v>40664</v>
      </c>
      <c r="C3" s="38">
        <v>41061</v>
      </c>
      <c r="D3" s="161">
        <v>41426</v>
      </c>
      <c r="E3" s="161">
        <v>41791</v>
      </c>
      <c r="F3" s="19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34" x14ac:dyDescent="0.25">
      <c r="A4" s="3" t="s">
        <v>16</v>
      </c>
      <c r="B4" s="40">
        <v>549</v>
      </c>
      <c r="C4" s="40">
        <v>496</v>
      </c>
      <c r="D4" s="162">
        <v>439</v>
      </c>
      <c r="E4" s="162">
        <v>444</v>
      </c>
      <c r="F4" s="193">
        <v>297</v>
      </c>
      <c r="G4" s="40">
        <v>304</v>
      </c>
      <c r="H4" s="14">
        <v>304</v>
      </c>
      <c r="I4" s="14">
        <v>305</v>
      </c>
      <c r="J4" s="14">
        <v>305</v>
      </c>
      <c r="K4" s="14">
        <v>314</v>
      </c>
      <c r="L4" s="14">
        <v>319</v>
      </c>
      <c r="M4" s="14">
        <v>319</v>
      </c>
      <c r="N4" s="14">
        <v>319</v>
      </c>
      <c r="O4" s="14">
        <v>319</v>
      </c>
      <c r="P4" s="14">
        <v>391</v>
      </c>
      <c r="Q4" s="14">
        <v>391</v>
      </c>
      <c r="R4" s="14">
        <v>391</v>
      </c>
      <c r="S4" s="14">
        <v>391</v>
      </c>
      <c r="T4" s="14">
        <v>391</v>
      </c>
      <c r="U4" s="14">
        <v>391</v>
      </c>
      <c r="V4" s="14">
        <v>391</v>
      </c>
      <c r="W4" s="14">
        <v>391</v>
      </c>
      <c r="X4" s="14">
        <v>391</v>
      </c>
      <c r="Y4" s="14">
        <v>391</v>
      </c>
      <c r="Z4" s="14">
        <v>391</v>
      </c>
      <c r="AA4" s="14">
        <v>391</v>
      </c>
      <c r="AB4">
        <f>AA4-Z4</f>
        <v>0</v>
      </c>
      <c r="AC4" t="s">
        <v>501</v>
      </c>
      <c r="AD4" t="s">
        <v>514</v>
      </c>
    </row>
    <row r="5" spans="1:34" x14ac:dyDescent="0.25">
      <c r="A5" s="3" t="s">
        <v>25</v>
      </c>
      <c r="B5" s="40">
        <v>358</v>
      </c>
      <c r="C5" s="40">
        <v>359</v>
      </c>
      <c r="D5" s="162">
        <v>373</v>
      </c>
      <c r="E5" s="162"/>
      <c r="F5" s="19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F5" t="s">
        <v>517</v>
      </c>
    </row>
    <row r="6" spans="1:34" x14ac:dyDescent="0.25">
      <c r="A6" s="1" t="s">
        <v>3</v>
      </c>
      <c r="B6" s="39">
        <v>801</v>
      </c>
      <c r="C6" s="39"/>
      <c r="D6" s="163"/>
      <c r="E6" s="163"/>
      <c r="F6" s="16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59" t="s">
        <v>372</v>
      </c>
      <c r="AC6" t="s">
        <v>378</v>
      </c>
      <c r="AF6" s="202" t="s">
        <v>519</v>
      </c>
      <c r="AG6" s="202" t="s">
        <v>515</v>
      </c>
      <c r="AH6" s="202" t="s">
        <v>516</v>
      </c>
    </row>
    <row r="7" spans="1:34" x14ac:dyDescent="0.25">
      <c r="A7" s="3" t="s">
        <v>4</v>
      </c>
      <c r="B7" s="40">
        <v>937</v>
      </c>
      <c r="C7" s="40">
        <v>989</v>
      </c>
      <c r="D7" s="162">
        <v>827</v>
      </c>
      <c r="E7" s="162">
        <v>861</v>
      </c>
      <c r="F7" s="169">
        <v>26</v>
      </c>
      <c r="G7" s="4">
        <v>29</v>
      </c>
      <c r="H7" s="4">
        <v>30</v>
      </c>
      <c r="I7" s="4">
        <v>40</v>
      </c>
      <c r="J7" s="4">
        <v>48</v>
      </c>
      <c r="K7" s="4">
        <v>60</v>
      </c>
      <c r="L7" s="4">
        <v>68</v>
      </c>
      <c r="M7" s="4">
        <v>102</v>
      </c>
      <c r="N7" s="4">
        <v>130</v>
      </c>
      <c r="O7" s="4">
        <v>130</v>
      </c>
      <c r="P7" s="4">
        <v>266</v>
      </c>
      <c r="Q7" s="4">
        <v>396</v>
      </c>
      <c r="R7" s="4">
        <v>484</v>
      </c>
      <c r="S7" s="200">
        <v>672</v>
      </c>
      <c r="T7" s="4">
        <f>606+48+40</f>
        <v>694</v>
      </c>
      <c r="U7" s="4">
        <f>618+48+40</f>
        <v>706</v>
      </c>
      <c r="V7" s="4">
        <f>521+138+45+43</f>
        <v>747</v>
      </c>
      <c r="W7" s="4">
        <f>547+137+46+43</f>
        <v>773</v>
      </c>
      <c r="X7" s="4">
        <f>560+137+51+43</f>
        <v>791</v>
      </c>
      <c r="Y7" s="4">
        <f>588+138+51+43</f>
        <v>820</v>
      </c>
      <c r="Z7" s="4">
        <f>590+137+51+45</f>
        <v>823</v>
      </c>
      <c r="AA7" s="4">
        <f>639+137+51+45</f>
        <v>872</v>
      </c>
      <c r="AB7" s="83">
        <f>AA7-Z7</f>
        <v>49</v>
      </c>
      <c r="AC7" s="201">
        <f>(AA19/AA7)*1.2</f>
        <v>239.14438073394496</v>
      </c>
      <c r="AD7" s="207">
        <f>AA7-861</f>
        <v>11</v>
      </c>
      <c r="AF7" s="62">
        <v>672</v>
      </c>
      <c r="AG7" s="62">
        <v>610</v>
      </c>
      <c r="AH7" s="62">
        <v>526</v>
      </c>
    </row>
    <row r="8" spans="1:34" x14ac:dyDescent="0.25">
      <c r="A8" s="3" t="s">
        <v>142</v>
      </c>
      <c r="B8" s="40"/>
      <c r="C8" s="40">
        <v>105</v>
      </c>
      <c r="D8" s="162">
        <v>176</v>
      </c>
      <c r="E8" s="162"/>
      <c r="F8" s="169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34" x14ac:dyDescent="0.25">
      <c r="A9" s="3" t="s">
        <v>161</v>
      </c>
      <c r="B9" s="40">
        <v>938</v>
      </c>
      <c r="C9" s="40">
        <v>861</v>
      </c>
      <c r="D9" s="162">
        <v>814</v>
      </c>
      <c r="E9" s="162">
        <v>531</v>
      </c>
      <c r="F9" s="169">
        <v>3</v>
      </c>
      <c r="G9" s="4">
        <v>3</v>
      </c>
      <c r="H9" s="4"/>
      <c r="I9" s="4">
        <v>11</v>
      </c>
      <c r="J9" s="4">
        <v>15</v>
      </c>
      <c r="K9" s="4">
        <v>23</v>
      </c>
      <c r="L9" s="4">
        <v>27</v>
      </c>
      <c r="M9" s="4">
        <v>30</v>
      </c>
      <c r="N9" s="4">
        <v>30</v>
      </c>
      <c r="O9" s="4">
        <v>30</v>
      </c>
      <c r="P9" s="4">
        <v>47</v>
      </c>
      <c r="Q9" s="4">
        <v>76</v>
      </c>
      <c r="R9" s="4">
        <v>97</v>
      </c>
      <c r="S9" s="200">
        <v>137</v>
      </c>
      <c r="T9" s="4">
        <v>148</v>
      </c>
      <c r="U9" s="4">
        <v>164</v>
      </c>
      <c r="V9" s="4">
        <v>210</v>
      </c>
      <c r="W9" s="4">
        <v>281</v>
      </c>
      <c r="X9" s="4">
        <v>325</v>
      </c>
      <c r="Y9" s="4">
        <v>384</v>
      </c>
      <c r="Z9" s="4">
        <v>384</v>
      </c>
      <c r="AA9" s="4">
        <v>471</v>
      </c>
      <c r="AB9" s="83">
        <f>AA9-Z9</f>
        <v>87</v>
      </c>
      <c r="AD9" s="208">
        <f>AA9-531</f>
        <v>-60</v>
      </c>
      <c r="AF9" s="62">
        <v>137</v>
      </c>
      <c r="AG9" s="62">
        <v>81</v>
      </c>
      <c r="AH9" s="62">
        <v>42</v>
      </c>
    </row>
    <row r="10" spans="1:34" x14ac:dyDescent="0.25">
      <c r="A10" s="3" t="s">
        <v>5</v>
      </c>
      <c r="B10" s="40"/>
      <c r="C10" s="40">
        <v>284</v>
      </c>
      <c r="D10" s="162">
        <v>226</v>
      </c>
      <c r="E10" s="162">
        <v>169</v>
      </c>
      <c r="F10" s="169">
        <v>7</v>
      </c>
      <c r="G10" s="4">
        <v>7</v>
      </c>
      <c r="H10" s="4"/>
      <c r="I10" s="4">
        <v>7</v>
      </c>
      <c r="J10" s="4">
        <v>7</v>
      </c>
      <c r="K10" s="4">
        <v>7</v>
      </c>
      <c r="L10" s="4">
        <v>183</v>
      </c>
      <c r="M10" s="4">
        <v>186</v>
      </c>
      <c r="N10" s="4">
        <v>186</v>
      </c>
      <c r="O10" s="4">
        <v>186</v>
      </c>
      <c r="P10" s="4">
        <v>196</v>
      </c>
      <c r="Q10" s="4">
        <v>196</v>
      </c>
      <c r="R10" s="4">
        <v>196</v>
      </c>
      <c r="S10" s="4">
        <v>200</v>
      </c>
      <c r="T10" s="4">
        <v>200</v>
      </c>
      <c r="U10" s="4">
        <v>200</v>
      </c>
      <c r="V10" s="4">
        <v>211</v>
      </c>
      <c r="W10" s="4">
        <v>212</v>
      </c>
      <c r="X10" s="4">
        <v>213</v>
      </c>
      <c r="Y10" s="4">
        <v>212</v>
      </c>
      <c r="Z10" s="4">
        <v>218</v>
      </c>
      <c r="AA10" s="4">
        <v>218</v>
      </c>
      <c r="AB10" s="7"/>
    </row>
    <row r="11" spans="1:34" x14ac:dyDescent="0.25">
      <c r="A11" s="3" t="s">
        <v>307</v>
      </c>
      <c r="B11" s="40"/>
      <c r="C11" s="40"/>
      <c r="D11" s="162">
        <v>35</v>
      </c>
      <c r="E11" s="162">
        <v>23</v>
      </c>
      <c r="F11" s="169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>
        <v>24</v>
      </c>
      <c r="T11" s="4">
        <v>24</v>
      </c>
      <c r="U11" s="4">
        <v>38</v>
      </c>
      <c r="V11" s="4">
        <v>38</v>
      </c>
      <c r="W11" s="4">
        <v>38</v>
      </c>
      <c r="X11" s="4">
        <v>44</v>
      </c>
      <c r="Y11" s="4">
        <v>44</v>
      </c>
      <c r="Z11" s="4">
        <v>44</v>
      </c>
      <c r="AA11" s="4">
        <v>44</v>
      </c>
    </row>
    <row r="12" spans="1:34" x14ac:dyDescent="0.25">
      <c r="A12" s="3" t="s">
        <v>479</v>
      </c>
      <c r="B12" s="40"/>
      <c r="C12" s="40"/>
      <c r="D12" s="162">
        <v>27</v>
      </c>
      <c r="E12" s="162">
        <v>56</v>
      </c>
      <c r="F12" s="169"/>
      <c r="G12" s="4"/>
      <c r="H12" s="4"/>
      <c r="I12" s="4"/>
      <c r="J12" s="4"/>
      <c r="K12" s="4">
        <v>1</v>
      </c>
      <c r="L12" s="4">
        <f>22+13</f>
        <v>35</v>
      </c>
      <c r="M12" s="4">
        <f>22+13</f>
        <v>35</v>
      </c>
      <c r="N12" s="4">
        <f>22+13</f>
        <v>35</v>
      </c>
      <c r="O12" s="4">
        <f>22+13</f>
        <v>35</v>
      </c>
      <c r="P12" s="4">
        <f>24+16</f>
        <v>40</v>
      </c>
      <c r="Q12" s="4">
        <f>24+16</f>
        <v>40</v>
      </c>
      <c r="R12" s="4">
        <f>24+16</f>
        <v>40</v>
      </c>
      <c r="S12" s="4">
        <f>25+16</f>
        <v>41</v>
      </c>
      <c r="T12" s="4">
        <f>25+16</f>
        <v>41</v>
      </c>
      <c r="U12" s="4">
        <f>25+16</f>
        <v>41</v>
      </c>
      <c r="V12" s="4">
        <f>25+17</f>
        <v>42</v>
      </c>
      <c r="W12" s="4">
        <f>26+17</f>
        <v>43</v>
      </c>
      <c r="X12" s="4">
        <f>26+17</f>
        <v>43</v>
      </c>
      <c r="Y12" s="4">
        <f>26+17</f>
        <v>43</v>
      </c>
      <c r="Z12" s="4">
        <f>26+17</f>
        <v>43</v>
      </c>
      <c r="AA12" s="4">
        <f>26+17</f>
        <v>43</v>
      </c>
    </row>
    <row r="13" spans="1:34" x14ac:dyDescent="0.25">
      <c r="A13" s="3" t="s">
        <v>321</v>
      </c>
      <c r="B13" s="40"/>
      <c r="C13" s="40">
        <f>13+6</f>
        <v>19</v>
      </c>
      <c r="D13" s="162">
        <v>39</v>
      </c>
      <c r="E13" s="162">
        <v>40</v>
      </c>
      <c r="F13" s="169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12</v>
      </c>
      <c r="X13" s="4">
        <v>12</v>
      </c>
      <c r="Y13" s="4">
        <v>12</v>
      </c>
      <c r="Z13" s="4">
        <v>12</v>
      </c>
      <c r="AA13" s="4">
        <v>12</v>
      </c>
    </row>
    <row r="14" spans="1:34" x14ac:dyDescent="0.25">
      <c r="A14" s="3" t="s">
        <v>162</v>
      </c>
      <c r="B14" s="40"/>
      <c r="C14" s="40">
        <v>693</v>
      </c>
      <c r="D14" s="162">
        <v>885</v>
      </c>
      <c r="E14" s="162">
        <v>821</v>
      </c>
      <c r="F14" s="169"/>
      <c r="G14" s="4"/>
      <c r="H14" s="4"/>
      <c r="I14" s="4"/>
      <c r="J14" s="4"/>
      <c r="K14" s="4">
        <v>12</v>
      </c>
      <c r="L14" s="4">
        <v>10</v>
      </c>
      <c r="M14" s="4">
        <v>13</v>
      </c>
      <c r="N14" s="4">
        <v>13</v>
      </c>
      <c r="O14" s="4">
        <v>13</v>
      </c>
      <c r="P14" s="4">
        <v>28</v>
      </c>
      <c r="Q14" s="4">
        <v>28</v>
      </c>
      <c r="R14" s="4">
        <v>69</v>
      </c>
      <c r="S14" s="4">
        <v>85</v>
      </c>
      <c r="T14" s="4">
        <v>85</v>
      </c>
      <c r="U14" s="4">
        <v>85</v>
      </c>
      <c r="V14" s="4">
        <v>443</v>
      </c>
      <c r="W14" s="4">
        <v>615</v>
      </c>
      <c r="X14" s="4">
        <v>683</v>
      </c>
      <c r="Y14" s="4">
        <v>805</v>
      </c>
      <c r="Z14" s="4">
        <v>805</v>
      </c>
      <c r="AA14" s="4">
        <v>809</v>
      </c>
    </row>
    <row r="15" spans="1:34" x14ac:dyDescent="0.25">
      <c r="A15" s="3" t="s">
        <v>313</v>
      </c>
      <c r="B15" s="40"/>
      <c r="C15" s="40"/>
      <c r="D15" s="162">
        <v>156</v>
      </c>
      <c r="E15" s="162">
        <v>98</v>
      </c>
      <c r="F15" s="169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83"/>
    </row>
    <row r="16" spans="1:34" x14ac:dyDescent="0.25">
      <c r="A16" s="1" t="s">
        <v>217</v>
      </c>
      <c r="B16" s="41">
        <f>SUM(B7:B13)</f>
        <v>1875</v>
      </c>
      <c r="C16" s="41">
        <f>SUM(C7:C15)</f>
        <v>2951</v>
      </c>
      <c r="D16" s="164">
        <f>SUM(D7:D15)</f>
        <v>3185</v>
      </c>
      <c r="E16" s="164">
        <f>SUM(E7:E15)</f>
        <v>2599</v>
      </c>
      <c r="F16" s="194">
        <f>SUM(F7:F13)</f>
        <v>36</v>
      </c>
      <c r="G16" s="5">
        <f>SUM(G7:G13)</f>
        <v>39</v>
      </c>
      <c r="H16" s="5"/>
      <c r="I16" s="5"/>
      <c r="J16" s="5">
        <f t="shared" ref="J16:P16" si="0">SUM(J7:J13)</f>
        <v>70</v>
      </c>
      <c r="K16" s="5">
        <f t="shared" si="0"/>
        <v>91</v>
      </c>
      <c r="L16" s="5">
        <f t="shared" si="0"/>
        <v>313</v>
      </c>
      <c r="M16" s="5">
        <f t="shared" si="0"/>
        <v>353</v>
      </c>
      <c r="N16" s="5">
        <f t="shared" si="0"/>
        <v>381</v>
      </c>
      <c r="O16" s="5">
        <f t="shared" si="0"/>
        <v>381</v>
      </c>
      <c r="P16" s="5">
        <f t="shared" si="0"/>
        <v>549</v>
      </c>
      <c r="Q16" s="5">
        <f t="shared" ref="Q16:R16" si="1">SUM(Q7:Q13)</f>
        <v>708</v>
      </c>
      <c r="R16" s="5">
        <f t="shared" si="1"/>
        <v>818</v>
      </c>
      <c r="S16" s="5">
        <f t="shared" ref="S16:T16" si="2">SUM(S7:S13)</f>
        <v>1075</v>
      </c>
      <c r="T16" s="5">
        <f t="shared" si="2"/>
        <v>1108</v>
      </c>
      <c r="U16" s="5">
        <f t="shared" ref="U16:V16" si="3">SUM(U7:U13)</f>
        <v>1150</v>
      </c>
      <c r="V16" s="5">
        <f t="shared" si="3"/>
        <v>1249</v>
      </c>
      <c r="W16" s="5">
        <f t="shared" ref="W16:X16" si="4">SUM(W7:W13)</f>
        <v>1359</v>
      </c>
      <c r="X16" s="5">
        <f t="shared" si="4"/>
        <v>1428</v>
      </c>
      <c r="Y16" s="5">
        <f t="shared" ref="Y16:Z16" si="5">SUM(Y7:Y13)</f>
        <v>1515</v>
      </c>
      <c r="Z16" s="5">
        <f t="shared" si="5"/>
        <v>1524</v>
      </c>
      <c r="AA16" s="5">
        <f>SUM(AA7:AA14)</f>
        <v>2469</v>
      </c>
    </row>
    <row r="17" spans="1:29" x14ac:dyDescent="0.25">
      <c r="A17" s="6"/>
      <c r="B17" s="40"/>
      <c r="C17" s="97"/>
      <c r="D17" s="97"/>
      <c r="E17" s="97"/>
      <c r="F17" s="169"/>
      <c r="G17" s="4" t="s">
        <v>495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9" x14ac:dyDescent="0.25">
      <c r="A18" s="1" t="s">
        <v>8</v>
      </c>
      <c r="B18" s="2"/>
      <c r="C18" s="2"/>
      <c r="D18" s="165"/>
      <c r="E18" s="165"/>
      <c r="F18" s="16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t="s">
        <v>372</v>
      </c>
    </row>
    <row r="19" spans="1:29" x14ac:dyDescent="0.25">
      <c r="A19" s="54" t="s">
        <v>9</v>
      </c>
      <c r="B19" s="42" t="s">
        <v>218</v>
      </c>
      <c r="C19" s="53">
        <f>167086</f>
        <v>167086</v>
      </c>
      <c r="D19" s="166"/>
      <c r="E19" s="166">
        <v>182937.25</v>
      </c>
      <c r="F19" s="166">
        <f>5644.2/1.2</f>
        <v>4703.5</v>
      </c>
      <c r="G19" s="53">
        <f>6489.2/1.2</f>
        <v>5407.666666666667</v>
      </c>
      <c r="H19" s="53">
        <f>6729.2/1.2</f>
        <v>5607.666666666667</v>
      </c>
      <c r="I19" s="53">
        <f>9046.2/1.2</f>
        <v>7538.5000000000009</v>
      </c>
      <c r="J19" s="53">
        <f>11267.2/1.2</f>
        <v>9389.3333333333339</v>
      </c>
      <c r="K19" s="53">
        <f>13830.2/1.2</f>
        <v>11525.166666666668</v>
      </c>
      <c r="L19" s="53">
        <f>15391.2/1.2</f>
        <v>12826.000000000002</v>
      </c>
      <c r="M19" s="53">
        <f>23862.2/1.2</f>
        <v>19885.166666666668</v>
      </c>
      <c r="N19" s="53">
        <f>30335.2/1.2</f>
        <v>25279.333333333336</v>
      </c>
      <c r="O19" s="53">
        <f>30335.2/1.2</f>
        <v>25279.333333333336</v>
      </c>
      <c r="P19" s="53">
        <f>59712.2/1.2</f>
        <v>49760.166666666664</v>
      </c>
      <c r="Q19" s="53">
        <f>59712.2/1.2</f>
        <v>49760.166666666664</v>
      </c>
      <c r="R19" s="53">
        <f>113403.2/1.2</f>
        <v>94502.666666666672</v>
      </c>
      <c r="S19" s="53">
        <f>155502.2/1.2</f>
        <v>129585.16666666669</v>
      </c>
      <c r="T19" s="53">
        <f>155502.2/1.2</f>
        <v>129585.16666666669</v>
      </c>
      <c r="U19" s="53">
        <f>169427.7/1.2</f>
        <v>141189.75000000003</v>
      </c>
      <c r="V19" s="53">
        <f>179669.7/1.2</f>
        <v>149724.75000000003</v>
      </c>
      <c r="W19" s="53">
        <f>184835.4/1.2</f>
        <v>154029.5</v>
      </c>
      <c r="X19" s="53">
        <f>189321.4/1.2</f>
        <v>157767.83333333334</v>
      </c>
      <c r="Y19" s="53">
        <f>197061.9/1.2</f>
        <v>164218.25</v>
      </c>
      <c r="Z19" s="53">
        <f>197061.9/1.2</f>
        <v>164218.25</v>
      </c>
      <c r="AA19" s="53">
        <f>208533.9/1.2</f>
        <v>173778.25</v>
      </c>
      <c r="AB19" s="44">
        <f>AA19-Z19</f>
        <v>9560</v>
      </c>
    </row>
    <row r="20" spans="1:29" x14ac:dyDescent="0.25">
      <c r="A20" s="8" t="s">
        <v>268</v>
      </c>
      <c r="B20" s="42"/>
      <c r="C20" s="42">
        <v>10980</v>
      </c>
      <c r="D20" s="167"/>
      <c r="E20" s="167">
        <v>10330</v>
      </c>
      <c r="F20" s="195">
        <f>7785</f>
        <v>7785</v>
      </c>
      <c r="G20" s="9">
        <v>7785</v>
      </c>
      <c r="H20" s="9">
        <v>7785</v>
      </c>
      <c r="I20" s="9">
        <v>7785</v>
      </c>
      <c r="J20" s="9">
        <v>7785</v>
      </c>
      <c r="K20" s="9">
        <v>7785</v>
      </c>
      <c r="L20" s="9">
        <v>7785</v>
      </c>
      <c r="M20" s="9">
        <v>7785</v>
      </c>
      <c r="N20" s="9">
        <v>7785</v>
      </c>
      <c r="O20" s="9">
        <v>7785</v>
      </c>
      <c r="P20" s="9">
        <v>8580</v>
      </c>
      <c r="Q20" s="9">
        <v>11760</v>
      </c>
      <c r="R20" s="9">
        <v>11760</v>
      </c>
      <c r="S20" s="9">
        <v>11760</v>
      </c>
      <c r="T20" s="9">
        <v>11760</v>
      </c>
      <c r="U20" s="9">
        <v>12355</v>
      </c>
      <c r="V20" s="9">
        <v>12355</v>
      </c>
      <c r="W20" s="9">
        <v>12355</v>
      </c>
      <c r="X20" s="9">
        <v>12355</v>
      </c>
      <c r="Y20" s="9">
        <v>12355</v>
      </c>
      <c r="Z20" s="9">
        <v>12355</v>
      </c>
      <c r="AA20" s="9">
        <v>12355</v>
      </c>
      <c r="AB20" s="44">
        <f t="shared" ref="AB20:AB22" si="6">AA20-Z20</f>
        <v>0</v>
      </c>
      <c r="AC20" s="44"/>
    </row>
    <row r="21" spans="1:29" x14ac:dyDescent="0.25">
      <c r="A21" s="8" t="s">
        <v>11</v>
      </c>
      <c r="B21" s="42">
        <v>478526</v>
      </c>
      <c r="C21" s="42">
        <v>490077</v>
      </c>
      <c r="D21" s="167"/>
      <c r="E21" s="167">
        <v>496920</v>
      </c>
      <c r="F21" s="195">
        <v>435210</v>
      </c>
      <c r="G21" s="9">
        <v>435210</v>
      </c>
      <c r="H21" s="9">
        <v>425220</v>
      </c>
      <c r="I21" s="9">
        <v>427260</v>
      </c>
      <c r="J21" s="9">
        <v>434940</v>
      </c>
      <c r="K21" s="9">
        <v>449360</v>
      </c>
      <c r="L21" s="9">
        <v>459080</v>
      </c>
      <c r="M21" s="9">
        <v>460600</v>
      </c>
      <c r="N21" s="9">
        <v>466380</v>
      </c>
      <c r="O21" s="9">
        <v>466380</v>
      </c>
      <c r="P21" s="9">
        <v>505250</v>
      </c>
      <c r="Q21" s="9">
        <v>505690</v>
      </c>
      <c r="R21" s="9">
        <v>508410</v>
      </c>
      <c r="S21" s="9">
        <v>512490</v>
      </c>
      <c r="T21" s="9">
        <v>512490</v>
      </c>
      <c r="U21" s="9">
        <v>512490</v>
      </c>
      <c r="V21" s="9">
        <v>515550</v>
      </c>
      <c r="W21" s="9">
        <v>523710</v>
      </c>
      <c r="X21" s="9">
        <v>523710</v>
      </c>
      <c r="Y21" s="9">
        <v>523710</v>
      </c>
      <c r="Z21" s="9">
        <v>523710</v>
      </c>
      <c r="AA21" s="9">
        <v>523710</v>
      </c>
      <c r="AB21" s="44">
        <f t="shared" si="6"/>
        <v>0</v>
      </c>
      <c r="AC21" s="131"/>
    </row>
    <row r="22" spans="1:29" x14ac:dyDescent="0.25">
      <c r="A22" s="8" t="s">
        <v>12</v>
      </c>
      <c r="B22" s="42">
        <v>0</v>
      </c>
      <c r="C22" s="42">
        <v>18790</v>
      </c>
      <c r="D22" s="167"/>
      <c r="E22" s="167">
        <v>8630</v>
      </c>
      <c r="F22" s="195">
        <v>3725</v>
      </c>
      <c r="G22" s="9">
        <v>3725</v>
      </c>
      <c r="H22" s="9">
        <v>13715</v>
      </c>
      <c r="I22" s="9">
        <v>13715</v>
      </c>
      <c r="J22" s="9">
        <v>17715</v>
      </c>
      <c r="K22" s="9">
        <v>22405</v>
      </c>
      <c r="L22" s="9">
        <v>22405</v>
      </c>
      <c r="M22" s="9">
        <v>23100</v>
      </c>
      <c r="N22" s="9">
        <v>23100</v>
      </c>
      <c r="O22" s="9">
        <v>23100</v>
      </c>
      <c r="P22" s="9">
        <v>24095</v>
      </c>
      <c r="Q22" s="9">
        <v>24290</v>
      </c>
      <c r="R22" s="9">
        <v>24585</v>
      </c>
      <c r="S22" s="9">
        <v>24585</v>
      </c>
      <c r="T22" s="9">
        <v>24585</v>
      </c>
      <c r="U22" s="9">
        <v>26275</v>
      </c>
      <c r="V22" s="9">
        <v>26275</v>
      </c>
      <c r="W22" s="9">
        <v>26775</v>
      </c>
      <c r="X22" s="9">
        <v>26970</v>
      </c>
      <c r="Y22" s="9">
        <v>26970</v>
      </c>
      <c r="Z22" s="9">
        <v>26970</v>
      </c>
      <c r="AA22" s="9">
        <v>26970</v>
      </c>
      <c r="AB22" s="44">
        <f t="shared" si="6"/>
        <v>0</v>
      </c>
    </row>
    <row r="23" spans="1:29" x14ac:dyDescent="0.25">
      <c r="A23" s="1" t="s">
        <v>13</v>
      </c>
      <c r="B23" s="43">
        <f>SUM(B19:B22)</f>
        <v>478526</v>
      </c>
      <c r="C23" s="10">
        <f>SUM(C19:C22)</f>
        <v>686933</v>
      </c>
      <c r="D23" s="168"/>
      <c r="E23" s="10">
        <f>SUM(E19:E22)</f>
        <v>698817.25</v>
      </c>
      <c r="F23" s="168">
        <f t="shared" ref="F23" si="7">SUM(F19:F22)</f>
        <v>451423.5</v>
      </c>
      <c r="G23" s="10">
        <f t="shared" ref="G23:M23" si="8">SUM(G19:G22)</f>
        <v>452127.66666666669</v>
      </c>
      <c r="H23" s="10">
        <f t="shared" si="8"/>
        <v>452327.66666666669</v>
      </c>
      <c r="I23" s="10">
        <f t="shared" si="8"/>
        <v>456298.5</v>
      </c>
      <c r="J23" s="10">
        <f t="shared" si="8"/>
        <v>469829.33333333331</v>
      </c>
      <c r="K23" s="10">
        <f t="shared" si="8"/>
        <v>491075.16666666669</v>
      </c>
      <c r="L23" s="10">
        <f t="shared" si="8"/>
        <v>502096</v>
      </c>
      <c r="M23" s="10">
        <f t="shared" si="8"/>
        <v>511370.16666666669</v>
      </c>
      <c r="N23" s="10">
        <f t="shared" ref="N23:O23" si="9">SUM(N19:N22)</f>
        <v>522544.33333333331</v>
      </c>
      <c r="O23" s="10">
        <f t="shared" si="9"/>
        <v>522544.33333333331</v>
      </c>
      <c r="P23" s="10">
        <f t="shared" ref="P23:Q23" si="10">SUM(P19:P22)</f>
        <v>587685.16666666663</v>
      </c>
      <c r="Q23" s="10">
        <f t="shared" si="10"/>
        <v>591500.16666666663</v>
      </c>
      <c r="R23" s="10">
        <f t="shared" ref="R23:S23" si="11">SUM(R19:R22)</f>
        <v>639257.66666666663</v>
      </c>
      <c r="S23" s="10">
        <f t="shared" si="11"/>
        <v>678420.16666666674</v>
      </c>
      <c r="T23" s="10">
        <f t="shared" ref="T23:U23" si="12">SUM(T19:T22)</f>
        <v>678420.16666666674</v>
      </c>
      <c r="U23" s="10">
        <f t="shared" si="12"/>
        <v>692309.75</v>
      </c>
      <c r="V23" s="10">
        <f t="shared" ref="V23:W23" si="13">SUM(V19:V22)</f>
        <v>703904.75</v>
      </c>
      <c r="W23" s="10">
        <f t="shared" si="13"/>
        <v>716869.5</v>
      </c>
      <c r="X23" s="10">
        <f t="shared" ref="X23:Y23" si="14">SUM(X19:X22)</f>
        <v>720802.83333333337</v>
      </c>
      <c r="Y23" s="10">
        <f t="shared" si="14"/>
        <v>727253.25</v>
      </c>
      <c r="Z23" s="10">
        <f t="shared" ref="Z23:AA23" si="15">SUM(Z19:Z22)</f>
        <v>727253.25</v>
      </c>
      <c r="AA23" s="10">
        <f t="shared" si="15"/>
        <v>736813.25</v>
      </c>
      <c r="AB23" s="199">
        <f>AA20+AA21+AA22</f>
        <v>563035</v>
      </c>
      <c r="AC23" s="91" t="s">
        <v>482</v>
      </c>
    </row>
    <row r="24" spans="1:29" x14ac:dyDescent="0.25">
      <c r="A24" s="6"/>
      <c r="B24" s="65"/>
      <c r="C24" s="98"/>
      <c r="D24" s="98"/>
      <c r="E24" s="98"/>
      <c r="F24" s="169"/>
      <c r="G24" s="4"/>
      <c r="H24" s="9">
        <f>H23-H19</f>
        <v>446720</v>
      </c>
      <c r="I24" s="9">
        <f>I23-I19</f>
        <v>448760</v>
      </c>
      <c r="J24" s="9">
        <f>J23-J19</f>
        <v>460440</v>
      </c>
      <c r="K24" s="9">
        <f>K23-K19</f>
        <v>479550</v>
      </c>
      <c r="L24" s="4"/>
      <c r="M24" s="4"/>
      <c r="N24" s="9">
        <f>N23-N19</f>
        <v>497265</v>
      </c>
      <c r="O24" s="4"/>
      <c r="P24" s="4"/>
      <c r="Q24" s="9">
        <f>Q23-Q19</f>
        <v>541740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C24" t="s">
        <v>525</v>
      </c>
    </row>
    <row r="25" spans="1:29" x14ac:dyDescent="0.25">
      <c r="A25" s="1" t="s">
        <v>14</v>
      </c>
      <c r="B25" s="2"/>
      <c r="C25" s="2"/>
      <c r="D25" s="165"/>
      <c r="E25" s="165"/>
      <c r="F25" s="16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9" x14ac:dyDescent="0.25">
      <c r="A26" s="3" t="s">
        <v>404</v>
      </c>
      <c r="B26" s="4">
        <v>0</v>
      </c>
      <c r="C26" s="4">
        <v>82</v>
      </c>
      <c r="D26" s="169">
        <v>81</v>
      </c>
      <c r="E26" s="169">
        <v>342</v>
      </c>
      <c r="F26" s="16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9" x14ac:dyDescent="0.25">
      <c r="A27" s="3"/>
      <c r="B27" s="4">
        <v>0</v>
      </c>
      <c r="C27" s="4">
        <v>78</v>
      </c>
      <c r="D27" s="169">
        <v>94</v>
      </c>
      <c r="E27" s="169"/>
      <c r="F27" s="169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9" x14ac:dyDescent="0.25">
      <c r="A28" s="11"/>
      <c r="B28" s="7"/>
      <c r="C28" s="7"/>
      <c r="D28" s="7"/>
      <c r="E28" s="7"/>
      <c r="F28" s="19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9" x14ac:dyDescent="0.25">
      <c r="A29" s="12" t="s">
        <v>21</v>
      </c>
      <c r="B29" s="2"/>
      <c r="C29" s="2"/>
      <c r="D29" s="165"/>
      <c r="E29" s="165"/>
      <c r="F29" s="196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9" x14ac:dyDescent="0.25">
      <c r="A30" s="3" t="s">
        <v>22</v>
      </c>
      <c r="B30" s="4"/>
      <c r="C30" s="4">
        <v>85</v>
      </c>
      <c r="D30" s="169">
        <v>30</v>
      </c>
      <c r="E30" s="169">
        <v>76</v>
      </c>
      <c r="F30" s="193">
        <v>1</v>
      </c>
      <c r="G30" s="4">
        <v>1</v>
      </c>
      <c r="H30" s="4">
        <v>1</v>
      </c>
      <c r="I30" s="4">
        <v>1</v>
      </c>
      <c r="J30" s="4">
        <v>2</v>
      </c>
      <c r="K30" s="4">
        <v>2</v>
      </c>
      <c r="L30" s="4">
        <v>2</v>
      </c>
      <c r="M30" s="4">
        <v>2</v>
      </c>
      <c r="N30" s="4">
        <v>2</v>
      </c>
      <c r="O30" s="4">
        <v>2</v>
      </c>
      <c r="P30" s="4">
        <v>26</v>
      </c>
      <c r="Q30" s="4">
        <v>26</v>
      </c>
      <c r="R30" s="4">
        <v>26</v>
      </c>
      <c r="S30" s="4">
        <v>49</v>
      </c>
      <c r="T30" s="4">
        <v>49</v>
      </c>
      <c r="U30" s="4">
        <v>49</v>
      </c>
      <c r="V30" s="4">
        <v>49</v>
      </c>
      <c r="W30" s="4">
        <v>49</v>
      </c>
      <c r="X30" s="4">
        <f>52+3</f>
        <v>55</v>
      </c>
      <c r="Y30" s="4">
        <f>52+3</f>
        <v>55</v>
      </c>
      <c r="Z30" s="4">
        <f>52+3</f>
        <v>55</v>
      </c>
      <c r="AA30" s="4">
        <f>57+6</f>
        <v>63</v>
      </c>
      <c r="AB30" s="174"/>
    </row>
    <row r="31" spans="1:29" x14ac:dyDescent="0.25">
      <c r="A31" s="3" t="s">
        <v>308</v>
      </c>
      <c r="B31" s="4"/>
      <c r="C31" s="4">
        <v>388</v>
      </c>
      <c r="D31" s="169">
        <v>196</v>
      </c>
      <c r="E31" s="169">
        <v>370</v>
      </c>
      <c r="F31" s="193">
        <v>11</v>
      </c>
      <c r="G31" s="4">
        <v>11</v>
      </c>
      <c r="H31" s="4">
        <v>11</v>
      </c>
      <c r="I31" s="4">
        <v>11</v>
      </c>
      <c r="J31" s="4">
        <v>14</v>
      </c>
      <c r="K31" s="4">
        <v>14</v>
      </c>
      <c r="L31" s="4">
        <v>14</v>
      </c>
      <c r="M31" s="4">
        <v>14</v>
      </c>
      <c r="N31" s="4">
        <v>14</v>
      </c>
      <c r="O31" s="4">
        <v>14</v>
      </c>
      <c r="P31" s="4">
        <v>66</v>
      </c>
      <c r="Q31" s="4">
        <v>66</v>
      </c>
      <c r="R31" s="4">
        <v>66</v>
      </c>
      <c r="S31" s="4">
        <v>178</v>
      </c>
      <c r="T31" s="4">
        <v>178</v>
      </c>
      <c r="U31" s="4">
        <v>178</v>
      </c>
      <c r="V31" s="4">
        <v>178</v>
      </c>
      <c r="W31" s="4">
        <v>222</v>
      </c>
      <c r="X31" s="4">
        <f>226+114</f>
        <v>340</v>
      </c>
      <c r="Y31" s="4">
        <f>226+114</f>
        <v>340</v>
      </c>
      <c r="Z31" s="4">
        <f>226+114</f>
        <v>340</v>
      </c>
      <c r="AA31" s="4">
        <f>245+159</f>
        <v>404</v>
      </c>
      <c r="AB31" s="174"/>
    </row>
    <row r="32" spans="1:29" x14ac:dyDescent="0.25">
      <c r="A32" s="3" t="s">
        <v>23</v>
      </c>
      <c r="B32" s="4"/>
      <c r="C32" s="4">
        <v>46</v>
      </c>
      <c r="D32" s="169">
        <v>15</v>
      </c>
      <c r="E32" s="169">
        <v>29</v>
      </c>
      <c r="F32" s="193"/>
      <c r="G32" s="14"/>
      <c r="H32" s="14"/>
      <c r="I32" s="14"/>
      <c r="J32" s="14">
        <v>1</v>
      </c>
      <c r="K32" s="14">
        <v>1</v>
      </c>
      <c r="L32" s="14">
        <v>1</v>
      </c>
      <c r="M32" s="14">
        <v>1</v>
      </c>
      <c r="N32" s="14">
        <v>1</v>
      </c>
      <c r="O32" s="14">
        <v>1</v>
      </c>
      <c r="P32" s="14">
        <v>8</v>
      </c>
      <c r="Q32" s="14">
        <v>8</v>
      </c>
      <c r="R32" s="14">
        <v>8</v>
      </c>
      <c r="S32" s="14">
        <v>10</v>
      </c>
      <c r="T32" s="14">
        <v>10</v>
      </c>
      <c r="U32" s="14">
        <v>10</v>
      </c>
      <c r="V32" s="14">
        <v>10</v>
      </c>
      <c r="W32" s="14">
        <v>14</v>
      </c>
      <c r="X32" s="14">
        <f>14+8</f>
        <v>22</v>
      </c>
      <c r="Y32" s="14">
        <f>14+8</f>
        <v>22</v>
      </c>
      <c r="Z32" s="14">
        <f>14+8</f>
        <v>22</v>
      </c>
      <c r="AA32" s="14">
        <f>15+13</f>
        <v>28</v>
      </c>
      <c r="AB32" s="174"/>
    </row>
    <row r="33" spans="1:31" x14ac:dyDescent="0.25">
      <c r="A33" s="3" t="s">
        <v>219</v>
      </c>
      <c r="B33" s="4"/>
      <c r="C33" s="4"/>
      <c r="D33" s="169">
        <v>88</v>
      </c>
      <c r="E33" s="169">
        <v>224</v>
      </c>
      <c r="F33" s="193">
        <v>6</v>
      </c>
      <c r="G33" s="4">
        <v>6</v>
      </c>
      <c r="H33" s="4">
        <v>6</v>
      </c>
      <c r="I33" s="4">
        <v>6</v>
      </c>
      <c r="J33" s="4">
        <v>16</v>
      </c>
      <c r="K33" s="4">
        <v>16</v>
      </c>
      <c r="L33" s="4">
        <v>16</v>
      </c>
      <c r="M33" s="4">
        <v>16</v>
      </c>
      <c r="N33" s="4">
        <v>16</v>
      </c>
      <c r="O33" s="4">
        <v>16</v>
      </c>
      <c r="P33" s="4">
        <v>92</v>
      </c>
      <c r="Q33" s="4">
        <v>92</v>
      </c>
      <c r="R33" s="4">
        <v>92</v>
      </c>
      <c r="S33" s="204">
        <v>201</v>
      </c>
      <c r="T33" s="204">
        <v>201</v>
      </c>
      <c r="U33" s="204">
        <v>201</v>
      </c>
      <c r="V33" s="204">
        <v>201</v>
      </c>
      <c r="W33" s="204">
        <v>220</v>
      </c>
      <c r="X33" s="204">
        <f>222+16</f>
        <v>238</v>
      </c>
      <c r="Y33" s="204">
        <f>222+16</f>
        <v>238</v>
      </c>
      <c r="Z33" s="204">
        <f>222+16</f>
        <v>238</v>
      </c>
      <c r="AA33" s="204">
        <f>242+24</f>
        <v>266</v>
      </c>
      <c r="AB33" s="174"/>
    </row>
    <row r="34" spans="1:31" x14ac:dyDescent="0.25">
      <c r="A34" s="3" t="s">
        <v>468</v>
      </c>
      <c r="B34" s="4"/>
      <c r="C34" s="4">
        <v>717</v>
      </c>
      <c r="D34" s="169"/>
      <c r="E34" s="169">
        <v>699</v>
      </c>
      <c r="F34" s="193">
        <v>19</v>
      </c>
      <c r="G34" s="4">
        <v>19</v>
      </c>
      <c r="H34" s="4">
        <v>19</v>
      </c>
      <c r="I34" s="4">
        <v>19</v>
      </c>
      <c r="J34" s="4">
        <v>23</v>
      </c>
      <c r="K34" s="4">
        <v>23</v>
      </c>
      <c r="L34" s="4">
        <v>23</v>
      </c>
      <c r="M34" s="4">
        <v>23</v>
      </c>
      <c r="N34" s="4">
        <v>23</v>
      </c>
      <c r="O34" s="4">
        <v>23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31" x14ac:dyDescent="0.25">
      <c r="A35" s="12" t="s">
        <v>24</v>
      </c>
      <c r="B35" s="2"/>
      <c r="C35" s="2"/>
      <c r="D35" s="165"/>
      <c r="E35" s="165"/>
      <c r="F35" s="196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83" t="s">
        <v>528</v>
      </c>
    </row>
    <row r="36" spans="1:31" x14ac:dyDescent="0.25">
      <c r="A36" s="3" t="s">
        <v>408</v>
      </c>
      <c r="B36" s="4"/>
      <c r="C36" s="4">
        <v>232</v>
      </c>
      <c r="D36" s="169">
        <v>188</v>
      </c>
      <c r="E36" s="169">
        <v>259</v>
      </c>
      <c r="F36" s="193">
        <v>5</v>
      </c>
      <c r="G36" s="4">
        <v>6</v>
      </c>
      <c r="H36" s="4">
        <v>6</v>
      </c>
      <c r="I36" s="4">
        <v>6</v>
      </c>
      <c r="J36" s="4">
        <v>6</v>
      </c>
      <c r="K36" s="4">
        <v>6</v>
      </c>
      <c r="L36" s="4">
        <v>6</v>
      </c>
      <c r="M36" s="4">
        <v>6</v>
      </c>
      <c r="N36" s="4">
        <v>6</v>
      </c>
      <c r="O36" s="4">
        <v>6</v>
      </c>
      <c r="P36" s="4">
        <f>42+3+2+5+2+1</f>
        <v>55</v>
      </c>
      <c r="Q36" s="4">
        <f>42+3+2+5+2+1</f>
        <v>55</v>
      </c>
      <c r="R36" s="4">
        <f>42+3+2+5+2+1</f>
        <v>55</v>
      </c>
      <c r="S36" s="4">
        <v>174</v>
      </c>
      <c r="T36" s="4">
        <v>174</v>
      </c>
      <c r="U36" s="4">
        <f>136+7+5+11+5+7+6+2+1+3+1+2</f>
        <v>186</v>
      </c>
      <c r="V36" s="4">
        <f>136+7+5+11+5+7+6+2+1+3+1+2</f>
        <v>186</v>
      </c>
      <c r="W36" s="4">
        <f>136+7+5+11+5+7+6+2+1+3+1+2</f>
        <v>186</v>
      </c>
      <c r="X36" s="4">
        <f>135+7+5+10+5+7+6+2+1+11+2+3+5+2</f>
        <v>201</v>
      </c>
      <c r="Y36" s="4">
        <f>135+7+5+10+5+7+6+2+1+11+2+3+5+2</f>
        <v>201</v>
      </c>
      <c r="Z36" s="4">
        <f>135+7+5+10+5+7+6+2+1+11+2+3+5+2</f>
        <v>201</v>
      </c>
      <c r="AA36" s="4">
        <f>135+7+5+10+5+7+6+2+1+11+2+3+5+2</f>
        <v>201</v>
      </c>
      <c r="AB36" s="176" t="s">
        <v>509</v>
      </c>
      <c r="AC36" s="174">
        <v>510</v>
      </c>
      <c r="AD36" s="83" t="s">
        <v>518</v>
      </c>
    </row>
    <row r="37" spans="1:31" x14ac:dyDescent="0.25">
      <c r="A37" s="3" t="s">
        <v>407</v>
      </c>
      <c r="B37" s="4"/>
      <c r="C37" s="4">
        <v>194</v>
      </c>
      <c r="D37" s="169">
        <v>165</v>
      </c>
      <c r="E37" s="169">
        <v>168</v>
      </c>
      <c r="F37" s="193">
        <v>1</v>
      </c>
      <c r="G37" s="14"/>
      <c r="H37" s="14"/>
      <c r="I37" s="14"/>
      <c r="J37" s="14"/>
      <c r="K37" s="14"/>
      <c r="L37" s="14"/>
      <c r="M37" s="14"/>
      <c r="N37" s="14"/>
      <c r="O37" s="14"/>
      <c r="P37" s="14">
        <f>18+9+1+38+14+6</f>
        <v>86</v>
      </c>
      <c r="Q37" s="14">
        <f>18+9+1+38+14+6</f>
        <v>86</v>
      </c>
      <c r="R37" s="14">
        <f>18+9+1+38+14+6</f>
        <v>86</v>
      </c>
      <c r="S37" s="14">
        <v>129</v>
      </c>
      <c r="T37" s="14">
        <v>129</v>
      </c>
      <c r="U37" s="14">
        <f>27+16+1+52+26+9+1</f>
        <v>132</v>
      </c>
      <c r="V37" s="14">
        <f>27+16+1+52+26+9+1</f>
        <v>132</v>
      </c>
      <c r="W37" s="14">
        <f>27+16+1+52+26+9+1</f>
        <v>132</v>
      </c>
      <c r="X37" s="14">
        <f>24+16+1+50+26+10+8+1+4+3+1</f>
        <v>144</v>
      </c>
      <c r="Y37" s="14">
        <f>24+16+1+50+26+10+8+1+4+3+1</f>
        <v>144</v>
      </c>
      <c r="Z37" s="14">
        <f>24+16+1+50+26+10+8+1+4+3+1</f>
        <v>144</v>
      </c>
      <c r="AA37" s="14">
        <f>24+16+1+50+26+10+8+1+4+3+1</f>
        <v>144</v>
      </c>
      <c r="AB37" s="176" t="s">
        <v>510</v>
      </c>
      <c r="AC37" s="174">
        <f>198+78+5</f>
        <v>281</v>
      </c>
      <c r="AD37" s="205">
        <f>AC36+AC37</f>
        <v>791</v>
      </c>
      <c r="AE37">
        <v>720</v>
      </c>
    </row>
    <row r="38" spans="1:31" x14ac:dyDescent="0.25">
      <c r="A38" s="3" t="s">
        <v>405</v>
      </c>
      <c r="B38" s="4"/>
      <c r="C38" s="4">
        <v>277</v>
      </c>
      <c r="D38" s="169">
        <v>212</v>
      </c>
      <c r="E38" s="169">
        <v>313</v>
      </c>
      <c r="F38" s="193">
        <v>11</v>
      </c>
      <c r="G38" s="4">
        <v>19</v>
      </c>
      <c r="H38" s="4">
        <v>19</v>
      </c>
      <c r="I38" s="4">
        <v>19</v>
      </c>
      <c r="J38" s="4">
        <v>19</v>
      </c>
      <c r="K38" s="4">
        <v>19</v>
      </c>
      <c r="L38" s="4">
        <v>19</v>
      </c>
      <c r="M38" s="4">
        <v>19</v>
      </c>
      <c r="N38" s="4">
        <v>19</v>
      </c>
      <c r="O38" s="4">
        <v>19</v>
      </c>
      <c r="P38" s="4">
        <f>49+9+2+22+14+5+2+2</f>
        <v>105</v>
      </c>
      <c r="Q38" s="4">
        <f>49+9+2+22+14+5+2+2</f>
        <v>105</v>
      </c>
      <c r="R38" s="4">
        <f>49+9+2+22+14+5+2+2</f>
        <v>105</v>
      </c>
      <c r="S38" s="4">
        <v>268</v>
      </c>
      <c r="T38" s="4">
        <v>268</v>
      </c>
      <c r="U38" s="4">
        <f>101+29+11+51+42+17+5+2+41+4+4+2+1+4+2+2</f>
        <v>318</v>
      </c>
      <c r="V38" s="4">
        <f>101+29+11+51+42+17+5+2+41+4+4+2+1+4+2+2</f>
        <v>318</v>
      </c>
      <c r="W38" s="4">
        <f>101+29+11+51+42+17+5+2+41+4+4+2+1+4+2+2</f>
        <v>318</v>
      </c>
      <c r="X38" s="4">
        <f>99+28+11+49+42+15+5+5+2+41+15+9+7+8+6+4+6+14+15+7+1</f>
        <v>389</v>
      </c>
      <c r="Y38" s="4">
        <f>99+28+11+49+42+15+5+5+2+41+15+9+7+8+6+4+6+14+15+7+1</f>
        <v>389</v>
      </c>
      <c r="Z38" s="4">
        <f>99+28+11+49+42+15+5+5+2+41+15+9+7+8+6+4+6+14+15+7+1</f>
        <v>389</v>
      </c>
      <c r="AA38" s="4">
        <f>99+28+11+49+42+15+5+5+2+41+15+9+7+8+6+4+6+14+15+7+1</f>
        <v>389</v>
      </c>
      <c r="AB38" s="176" t="s">
        <v>511</v>
      </c>
      <c r="AC38" s="174">
        <f>193+78+1+27</f>
        <v>299</v>
      </c>
      <c r="AD38" s="205">
        <f>AC36+AC38</f>
        <v>809</v>
      </c>
      <c r="AE38">
        <v>740</v>
      </c>
    </row>
    <row r="39" spans="1:31" x14ac:dyDescent="0.25">
      <c r="A39" s="3" t="s">
        <v>406</v>
      </c>
      <c r="B39" s="4"/>
      <c r="C39" s="4">
        <v>76</v>
      </c>
      <c r="D39" s="169">
        <v>59</v>
      </c>
      <c r="E39" s="169">
        <v>85</v>
      </c>
      <c r="F39" s="193">
        <v>2</v>
      </c>
      <c r="G39" s="4">
        <v>5</v>
      </c>
      <c r="H39" s="4">
        <v>5</v>
      </c>
      <c r="I39" s="4">
        <v>5</v>
      </c>
      <c r="J39" s="4">
        <v>5</v>
      </c>
      <c r="K39" s="4">
        <v>5</v>
      </c>
      <c r="L39" s="4">
        <v>5</v>
      </c>
      <c r="M39" s="4">
        <v>5</v>
      </c>
      <c r="N39" s="4">
        <v>5</v>
      </c>
      <c r="O39" s="4">
        <v>5</v>
      </c>
      <c r="P39" s="4">
        <f>9+1+8+4</f>
        <v>22</v>
      </c>
      <c r="Q39" s="4">
        <f>9+1+8+4</f>
        <v>22</v>
      </c>
      <c r="R39" s="4">
        <f>9+1+8+4</f>
        <v>22</v>
      </c>
      <c r="S39" s="4">
        <v>65</v>
      </c>
      <c r="T39" s="4">
        <v>65</v>
      </c>
      <c r="U39" s="4">
        <f>25+5+1+13+12+1+2+4+1</f>
        <v>64</v>
      </c>
      <c r="V39" s="4">
        <f>25+5+1+13+12+1+2+4+1</f>
        <v>64</v>
      </c>
      <c r="W39" s="4">
        <f>25+5+1+13+12+1+2+4+1</f>
        <v>64</v>
      </c>
      <c r="X39" s="4">
        <f>24+5+1+13+13+1+3+4+4</f>
        <v>68</v>
      </c>
      <c r="Y39" s="4">
        <f>24+5+1+13+13+1+3+4+4</f>
        <v>68</v>
      </c>
      <c r="Z39" s="4">
        <f>24+5+1+13+13+1+3+4+4</f>
        <v>68</v>
      </c>
      <c r="AA39" s="4">
        <f>24+5+1+13+13+1+3+4+4</f>
        <v>68</v>
      </c>
      <c r="AB39" s="176" t="s">
        <v>512</v>
      </c>
      <c r="AC39" s="174">
        <f>95+27+5+1</f>
        <v>128</v>
      </c>
      <c r="AD39" s="205">
        <f>AC36+AC39</f>
        <v>638</v>
      </c>
      <c r="AE39">
        <v>530</v>
      </c>
    </row>
    <row r="40" spans="1:31" x14ac:dyDescent="0.25">
      <c r="A40" s="15" t="s">
        <v>194</v>
      </c>
      <c r="B40" s="7"/>
      <c r="C40" s="7">
        <v>385</v>
      </c>
      <c r="D40" s="7">
        <v>169</v>
      </c>
      <c r="E40" s="7">
        <v>369</v>
      </c>
      <c r="F40" s="193"/>
      <c r="G40" s="14"/>
      <c r="H40" s="14">
        <v>4</v>
      </c>
      <c r="I40" s="14">
        <v>4</v>
      </c>
      <c r="J40" s="14">
        <v>4</v>
      </c>
      <c r="K40" s="14">
        <v>4</v>
      </c>
      <c r="L40" s="14">
        <v>4</v>
      </c>
      <c r="M40" s="14">
        <v>4</v>
      </c>
      <c r="N40" s="14">
        <v>4</v>
      </c>
      <c r="O40" s="14">
        <v>4</v>
      </c>
      <c r="P40" s="14">
        <v>4</v>
      </c>
      <c r="Q40" s="14">
        <v>4</v>
      </c>
      <c r="R40" s="14">
        <v>4</v>
      </c>
      <c r="S40" s="14">
        <v>137</v>
      </c>
      <c r="T40" s="14">
        <v>137</v>
      </c>
      <c r="U40" s="14">
        <v>164</v>
      </c>
      <c r="V40" s="14">
        <v>164</v>
      </c>
      <c r="W40" s="14">
        <v>164</v>
      </c>
      <c r="X40" s="14">
        <v>325</v>
      </c>
      <c r="Y40" s="14">
        <v>325</v>
      </c>
      <c r="Z40" s="14">
        <v>325</v>
      </c>
      <c r="AA40" s="14">
        <v>325</v>
      </c>
      <c r="AC40" s="174">
        <f>SUM(AC36:AC39)</f>
        <v>1218</v>
      </c>
      <c r="AE40" t="s">
        <v>526</v>
      </c>
    </row>
    <row r="41" spans="1:31" x14ac:dyDescent="0.25">
      <c r="A41" s="11"/>
      <c r="B41" s="7"/>
      <c r="C41" s="7"/>
      <c r="D41" s="7"/>
      <c r="E41" s="7"/>
      <c r="G41" s="14"/>
      <c r="H41" s="14"/>
      <c r="I41" s="14"/>
      <c r="J41" s="14"/>
      <c r="K41" s="14"/>
      <c r="L41" s="14"/>
      <c r="M41" s="14"/>
      <c r="N41" s="14"/>
      <c r="O41" s="1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</row>
    <row r="42" spans="1:31" x14ac:dyDescent="0.25">
      <c r="A42" s="173" t="s">
        <v>418</v>
      </c>
      <c r="B42" s="2"/>
      <c r="C42" s="2"/>
      <c r="D42" s="2"/>
      <c r="E42" s="2"/>
      <c r="F42" s="16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31" x14ac:dyDescent="0.25">
      <c r="B43" s="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 t="s">
        <v>527</v>
      </c>
    </row>
    <row r="44" spans="1:31" x14ac:dyDescent="0.25">
      <c r="A44" t="s">
        <v>419</v>
      </c>
      <c r="B44" s="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31" x14ac:dyDescent="0.25">
      <c r="A45" t="s">
        <v>420</v>
      </c>
      <c r="B45" s="4"/>
      <c r="D45">
        <v>294</v>
      </c>
      <c r="E45">
        <v>305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>
        <v>176</v>
      </c>
      <c r="V45" s="14">
        <v>176</v>
      </c>
      <c r="W45" s="14">
        <v>176</v>
      </c>
      <c r="X45" s="14">
        <v>176</v>
      </c>
      <c r="Y45" s="14">
        <v>176</v>
      </c>
      <c r="Z45" s="14">
        <v>176</v>
      </c>
      <c r="AA45" s="14">
        <v>176</v>
      </c>
    </row>
    <row r="46" spans="1:31" x14ac:dyDescent="0.25">
      <c r="A46" t="s">
        <v>421</v>
      </c>
      <c r="B46" s="4"/>
      <c r="D46">
        <v>34</v>
      </c>
      <c r="E46">
        <v>38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31</v>
      </c>
      <c r="V46" s="14">
        <v>31</v>
      </c>
      <c r="W46" s="14">
        <v>31</v>
      </c>
      <c r="X46" s="14">
        <v>31</v>
      </c>
      <c r="Y46" s="14">
        <v>31</v>
      </c>
      <c r="Z46" s="14">
        <v>31</v>
      </c>
      <c r="AA46" s="14">
        <v>31</v>
      </c>
    </row>
    <row r="47" spans="1:31" x14ac:dyDescent="0.25">
      <c r="A47" t="s">
        <v>422</v>
      </c>
      <c r="B47" s="7"/>
      <c r="D47">
        <v>156</v>
      </c>
      <c r="E47">
        <v>147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>
        <v>46</v>
      </c>
      <c r="V47" s="14">
        <v>46</v>
      </c>
      <c r="W47" s="14">
        <v>46</v>
      </c>
      <c r="X47" s="14">
        <v>46</v>
      </c>
      <c r="Y47" s="14">
        <v>46</v>
      </c>
      <c r="Z47" s="14">
        <v>46</v>
      </c>
      <c r="AA47" s="14">
        <v>46</v>
      </c>
    </row>
    <row r="48" spans="1:31" x14ac:dyDescent="0.25">
      <c r="A48" t="s">
        <v>423</v>
      </c>
      <c r="D48">
        <v>83</v>
      </c>
      <c r="E48">
        <v>101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>
        <v>96</v>
      </c>
      <c r="V48" s="14">
        <v>96</v>
      </c>
      <c r="W48" s="14">
        <v>96</v>
      </c>
      <c r="X48" s="14">
        <v>96</v>
      </c>
      <c r="Y48" s="14">
        <v>96</v>
      </c>
      <c r="Z48" s="14">
        <v>96</v>
      </c>
      <c r="AA48" s="14">
        <v>96</v>
      </c>
    </row>
    <row r="49" spans="1:27" x14ac:dyDescent="0.25">
      <c r="A49" t="s">
        <v>424</v>
      </c>
      <c r="D49">
        <v>53</v>
      </c>
      <c r="E49">
        <v>64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>
        <v>55</v>
      </c>
      <c r="V49" s="14">
        <v>55</v>
      </c>
      <c r="W49" s="14">
        <v>55</v>
      </c>
      <c r="X49" s="14">
        <v>55</v>
      </c>
      <c r="Y49" s="14">
        <v>55</v>
      </c>
      <c r="Z49" s="14">
        <v>55</v>
      </c>
      <c r="AA49" s="14">
        <v>55</v>
      </c>
    </row>
    <row r="50" spans="1:27" x14ac:dyDescent="0.25">
      <c r="A50" t="s">
        <v>425</v>
      </c>
      <c r="D50">
        <v>35</v>
      </c>
      <c r="E50">
        <v>37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>
        <v>81</v>
      </c>
      <c r="V50" s="14">
        <v>81</v>
      </c>
      <c r="W50" s="14">
        <v>81</v>
      </c>
      <c r="X50" s="14">
        <v>81</v>
      </c>
      <c r="Y50" s="14">
        <v>81</v>
      </c>
      <c r="Z50" s="14">
        <v>81</v>
      </c>
      <c r="AA50" s="14">
        <v>81</v>
      </c>
    </row>
    <row r="51" spans="1:27" x14ac:dyDescent="0.25">
      <c r="A51" t="s">
        <v>426</v>
      </c>
      <c r="D51">
        <v>188</v>
      </c>
      <c r="E51">
        <v>299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>
        <v>188</v>
      </c>
      <c r="V51" s="14">
        <v>188</v>
      </c>
      <c r="W51" s="14">
        <v>188</v>
      </c>
      <c r="X51" s="14">
        <v>188</v>
      </c>
      <c r="Y51" s="14">
        <v>188</v>
      </c>
      <c r="Z51" s="14">
        <v>188</v>
      </c>
      <c r="AA51" s="14">
        <v>188</v>
      </c>
    </row>
    <row r="52" spans="1:27" x14ac:dyDescent="0.25">
      <c r="A52" t="s">
        <v>427</v>
      </c>
      <c r="D52">
        <v>216</v>
      </c>
      <c r="E52">
        <v>133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>
        <v>161</v>
      </c>
      <c r="V52" s="14">
        <v>161</v>
      </c>
      <c r="W52" s="14">
        <v>161</v>
      </c>
      <c r="X52" s="14">
        <v>161</v>
      </c>
      <c r="Y52" s="14">
        <v>161</v>
      </c>
      <c r="Z52" s="14">
        <v>161</v>
      </c>
      <c r="AA52" s="14">
        <v>161</v>
      </c>
    </row>
    <row r="53" spans="1:27" x14ac:dyDescent="0.25">
      <c r="A53" t="s">
        <v>428</v>
      </c>
      <c r="D53">
        <v>96</v>
      </c>
      <c r="E53">
        <v>113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>
        <v>95</v>
      </c>
      <c r="V53" s="14">
        <v>95</v>
      </c>
      <c r="W53" s="14">
        <v>95</v>
      </c>
      <c r="X53" s="14">
        <v>95</v>
      </c>
      <c r="Y53" s="14">
        <v>95</v>
      </c>
      <c r="Z53" s="14">
        <v>95</v>
      </c>
      <c r="AA53" s="14">
        <v>95</v>
      </c>
    </row>
    <row r="54" spans="1:27" x14ac:dyDescent="0.25"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x14ac:dyDescent="0.25">
      <c r="A55" t="s">
        <v>429</v>
      </c>
      <c r="D55">
        <v>82</v>
      </c>
      <c r="E55">
        <v>71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>
        <v>54</v>
      </c>
      <c r="V55" s="14">
        <v>54</v>
      </c>
      <c r="W55" s="14">
        <v>54</v>
      </c>
      <c r="X55" s="14">
        <v>54</v>
      </c>
      <c r="Y55" s="14">
        <v>54</v>
      </c>
      <c r="Z55" s="14">
        <v>54</v>
      </c>
      <c r="AA55" s="14">
        <v>54</v>
      </c>
    </row>
    <row r="56" spans="1:27" x14ac:dyDescent="0.25">
      <c r="A56" s="11" t="s">
        <v>430</v>
      </c>
      <c r="D56">
        <v>30</v>
      </c>
      <c r="E56">
        <v>57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>
        <v>46</v>
      </c>
      <c r="V56" s="14">
        <v>46</v>
      </c>
      <c r="W56" s="14">
        <v>46</v>
      </c>
      <c r="X56" s="14">
        <v>46</v>
      </c>
      <c r="Y56" s="14">
        <v>46</v>
      </c>
      <c r="Z56" s="14">
        <v>46</v>
      </c>
      <c r="AA56" s="14">
        <v>46</v>
      </c>
    </row>
    <row r="57" spans="1:27" x14ac:dyDescent="0.25">
      <c r="A57" s="11" t="s">
        <v>431</v>
      </c>
      <c r="D57">
        <v>14</v>
      </c>
      <c r="E57">
        <v>24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>
        <v>17</v>
      </c>
      <c r="V57" s="14">
        <v>17</v>
      </c>
      <c r="W57" s="14">
        <v>17</v>
      </c>
      <c r="X57" s="14">
        <v>17</v>
      </c>
      <c r="Y57" s="14">
        <v>17</v>
      </c>
      <c r="Z57" s="14">
        <v>17</v>
      </c>
      <c r="AA57" s="14">
        <v>17</v>
      </c>
    </row>
    <row r="58" spans="1:27" x14ac:dyDescent="0.25"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x14ac:dyDescent="0.25">
      <c r="A59" t="s">
        <v>432</v>
      </c>
      <c r="E59">
        <v>105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>
        <v>76</v>
      </c>
      <c r="V59" s="14">
        <v>76</v>
      </c>
      <c r="W59" s="14">
        <v>76</v>
      </c>
      <c r="X59" s="14">
        <v>76</v>
      </c>
      <c r="Y59" s="14">
        <v>76</v>
      </c>
      <c r="Z59" s="14">
        <v>76</v>
      </c>
      <c r="AA59" s="14">
        <v>76</v>
      </c>
    </row>
    <row r="60" spans="1:27" x14ac:dyDescent="0.25">
      <c r="A60" s="6" t="s">
        <v>409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x14ac:dyDescent="0.25"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x14ac:dyDescent="0.25"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x14ac:dyDescent="0.25"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x14ac:dyDescent="0.25"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1" x14ac:dyDescent="0.25">
      <c r="A65" t="s">
        <v>410</v>
      </c>
    </row>
  </sheetData>
  <pageMargins left="0.75" right="0.75" top="1" bottom="1" header="0.5" footer="0.5"/>
  <pageSetup paperSize="9"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7"/>
  <sheetViews>
    <sheetView topLeftCell="A62" workbookViewId="0">
      <selection activeCell="C78" sqref="C78"/>
    </sheetView>
  </sheetViews>
  <sheetFormatPr defaultColWidth="8.7109375" defaultRowHeight="15" x14ac:dyDescent="0.25"/>
  <cols>
    <col min="1" max="1" width="3.28515625" customWidth="1"/>
    <col min="2" max="2" width="17.7109375" customWidth="1"/>
    <col min="3" max="3" width="24.7109375" customWidth="1"/>
    <col min="4" max="4" width="11.42578125" style="56" bestFit="1" customWidth="1"/>
    <col min="5" max="5" width="13.7109375" style="56" customWidth="1"/>
    <col min="6" max="6" width="14.28515625" customWidth="1"/>
    <col min="7" max="7" width="12.7109375" bestFit="1" customWidth="1"/>
    <col min="8" max="8" width="10.7109375" customWidth="1"/>
    <col min="9" max="10" width="8.7109375" style="56"/>
  </cols>
  <sheetData>
    <row r="1" spans="1:11" x14ac:dyDescent="0.25">
      <c r="A1" s="181"/>
      <c r="B1" s="182"/>
      <c r="C1" s="183" t="s">
        <v>27</v>
      </c>
      <c r="D1" s="184" t="s">
        <v>28</v>
      </c>
      <c r="E1" s="184"/>
      <c r="F1" s="185" t="s">
        <v>29</v>
      </c>
      <c r="G1" s="186" t="s">
        <v>30</v>
      </c>
      <c r="H1" s="187" t="s">
        <v>114</v>
      </c>
      <c r="I1" s="188"/>
      <c r="J1" s="188"/>
    </row>
    <row r="2" spans="1:11" x14ac:dyDescent="0.25">
      <c r="A2" s="145" t="s">
        <v>63</v>
      </c>
      <c r="B2" s="146"/>
      <c r="C2" s="51">
        <f>F103+G103+H103</f>
        <v>544699</v>
      </c>
      <c r="D2" s="147" t="s">
        <v>113</v>
      </c>
      <c r="E2" s="150">
        <v>47800</v>
      </c>
      <c r="F2" s="151" t="s">
        <v>111</v>
      </c>
      <c r="G2" s="148">
        <f>C4-C2</f>
        <v>-62699</v>
      </c>
      <c r="H2" s="149"/>
      <c r="I2" s="149"/>
      <c r="J2" s="149"/>
      <c r="K2" t="s">
        <v>141</v>
      </c>
    </row>
    <row r="3" spans="1:11" x14ac:dyDescent="0.25">
      <c r="A3" s="72"/>
      <c r="B3" s="73"/>
      <c r="C3" s="74"/>
      <c r="D3" s="106"/>
      <c r="E3" s="106"/>
      <c r="F3" s="75"/>
      <c r="G3" s="76"/>
      <c r="H3" s="77"/>
      <c r="I3" s="112"/>
      <c r="J3" s="112"/>
      <c r="K3" s="89">
        <f>K175</f>
        <v>0</v>
      </c>
    </row>
    <row r="4" spans="1:11" x14ac:dyDescent="0.25">
      <c r="A4" s="68" t="s">
        <v>110</v>
      </c>
      <c r="B4" s="67"/>
      <c r="C4" s="116">
        <f>F4+G4+H4</f>
        <v>482000</v>
      </c>
      <c r="D4" s="117"/>
      <c r="E4" s="117"/>
      <c r="F4" s="116">
        <f>12000+5000</f>
        <v>17000</v>
      </c>
      <c r="G4" s="116">
        <v>450000</v>
      </c>
      <c r="H4" s="116">
        <v>15000</v>
      </c>
      <c r="I4" s="113" t="s">
        <v>483</v>
      </c>
      <c r="J4" s="113" t="s">
        <v>328</v>
      </c>
      <c r="K4" t="s">
        <v>140</v>
      </c>
    </row>
    <row r="5" spans="1:11" x14ac:dyDescent="0.25">
      <c r="A5" s="27"/>
      <c r="B5" s="28"/>
      <c r="C5" s="6"/>
      <c r="D5" s="107"/>
      <c r="E5" s="107"/>
      <c r="F5" s="30"/>
      <c r="G5" s="31"/>
      <c r="H5" s="32"/>
      <c r="I5" s="6" t="s">
        <v>221</v>
      </c>
      <c r="J5" s="6"/>
    </row>
    <row r="6" spans="1:11" x14ac:dyDescent="0.25">
      <c r="A6" s="34">
        <v>1</v>
      </c>
      <c r="B6" s="33" t="s">
        <v>33</v>
      </c>
      <c r="C6" t="s">
        <v>40</v>
      </c>
      <c r="D6" s="56">
        <v>48</v>
      </c>
      <c r="E6" s="56" t="s">
        <v>228</v>
      </c>
      <c r="F6" s="125">
        <v>4995</v>
      </c>
      <c r="G6" s="44">
        <v>37400</v>
      </c>
      <c r="H6" s="125">
        <f>6995*2</f>
        <v>13990</v>
      </c>
      <c r="I6" s="114" t="s">
        <v>493</v>
      </c>
      <c r="J6" s="114"/>
      <c r="K6">
        <v>6</v>
      </c>
    </row>
    <row r="7" spans="1:11" x14ac:dyDescent="0.25">
      <c r="A7" s="34">
        <v>2</v>
      </c>
      <c r="B7" s="33" t="s">
        <v>33</v>
      </c>
      <c r="C7" s="6" t="s">
        <v>32</v>
      </c>
      <c r="D7" s="108">
        <v>36</v>
      </c>
      <c r="E7" s="56" t="s">
        <v>227</v>
      </c>
      <c r="F7" s="125">
        <v>1995</v>
      </c>
      <c r="G7" s="44">
        <v>32000</v>
      </c>
      <c r="H7" s="125"/>
      <c r="I7" s="114" t="s">
        <v>69</v>
      </c>
      <c r="K7">
        <v>6</v>
      </c>
    </row>
    <row r="8" spans="1:11" x14ac:dyDescent="0.25">
      <c r="A8" s="34">
        <v>3</v>
      </c>
      <c r="B8" s="33" t="s">
        <v>33</v>
      </c>
      <c r="C8" t="s">
        <v>37</v>
      </c>
      <c r="D8" s="56">
        <v>28</v>
      </c>
      <c r="E8" s="56" t="s">
        <v>226</v>
      </c>
      <c r="F8" s="125">
        <v>795</v>
      </c>
      <c r="G8" s="44">
        <v>19200</v>
      </c>
      <c r="H8" s="125"/>
      <c r="I8" s="114" t="s">
        <v>69</v>
      </c>
      <c r="J8" s="114"/>
      <c r="K8">
        <v>6</v>
      </c>
    </row>
    <row r="9" spans="1:11" x14ac:dyDescent="0.25">
      <c r="A9" s="34">
        <v>4</v>
      </c>
      <c r="B9" s="33" t="s">
        <v>33</v>
      </c>
      <c r="C9" t="s">
        <v>36</v>
      </c>
      <c r="D9" s="56">
        <v>21</v>
      </c>
      <c r="E9" s="56" t="s">
        <v>226</v>
      </c>
      <c r="F9" s="125"/>
      <c r="G9" s="44">
        <v>19200</v>
      </c>
      <c r="H9" s="125"/>
      <c r="I9" s="56" t="s">
        <v>69</v>
      </c>
      <c r="K9">
        <v>6</v>
      </c>
    </row>
    <row r="10" spans="1:11" x14ac:dyDescent="0.25">
      <c r="A10" s="34">
        <v>5</v>
      </c>
      <c r="B10" s="33" t="s">
        <v>33</v>
      </c>
      <c r="C10" t="s">
        <v>35</v>
      </c>
      <c r="D10" s="56" t="s">
        <v>492</v>
      </c>
      <c r="F10" s="125"/>
      <c r="G10" s="44">
        <v>32000</v>
      </c>
      <c r="H10" s="125"/>
      <c r="I10" s="114" t="s">
        <v>69</v>
      </c>
      <c r="K10">
        <v>6</v>
      </c>
    </row>
    <row r="11" spans="1:11" x14ac:dyDescent="0.25">
      <c r="A11" s="34">
        <v>6</v>
      </c>
      <c r="B11" s="33" t="s">
        <v>33</v>
      </c>
      <c r="C11" t="s">
        <v>38</v>
      </c>
      <c r="D11" s="56">
        <v>16</v>
      </c>
      <c r="E11" s="56" t="s">
        <v>226</v>
      </c>
      <c r="F11" s="125"/>
      <c r="G11" s="44">
        <v>38400</v>
      </c>
      <c r="H11" s="125"/>
      <c r="I11" s="56" t="s">
        <v>494</v>
      </c>
      <c r="K11">
        <v>6</v>
      </c>
    </row>
    <row r="12" spans="1:11" x14ac:dyDescent="0.25">
      <c r="A12" s="34">
        <v>7</v>
      </c>
      <c r="B12" s="33" t="s">
        <v>33</v>
      </c>
      <c r="C12" t="s">
        <v>209</v>
      </c>
      <c r="D12" s="56">
        <v>17</v>
      </c>
      <c r="E12" s="56" t="s">
        <v>226</v>
      </c>
      <c r="F12" s="125"/>
      <c r="G12" s="44">
        <v>19200</v>
      </c>
      <c r="H12" s="125"/>
      <c r="I12" s="56" t="s">
        <v>69</v>
      </c>
      <c r="K12">
        <v>6</v>
      </c>
    </row>
    <row r="13" spans="1:11" x14ac:dyDescent="0.25">
      <c r="A13" s="34">
        <v>8</v>
      </c>
      <c r="B13" s="33" t="s">
        <v>33</v>
      </c>
      <c r="C13" t="s">
        <v>68</v>
      </c>
      <c r="D13" s="56">
        <v>20</v>
      </c>
      <c r="F13" s="84"/>
      <c r="G13" s="84">
        <v>19200</v>
      </c>
      <c r="H13" s="125"/>
      <c r="I13" s="114" t="s">
        <v>329</v>
      </c>
      <c r="J13" s="56">
        <v>0</v>
      </c>
    </row>
    <row r="14" spans="1:11" x14ac:dyDescent="0.25">
      <c r="A14" s="34">
        <v>9</v>
      </c>
      <c r="B14" s="33" t="s">
        <v>33</v>
      </c>
      <c r="C14" t="s">
        <v>59</v>
      </c>
      <c r="D14" s="56" t="s">
        <v>484</v>
      </c>
      <c r="E14" s="56" t="s">
        <v>226</v>
      </c>
      <c r="F14" s="125"/>
      <c r="G14" s="84">
        <v>19200</v>
      </c>
      <c r="H14" s="125"/>
      <c r="I14" s="114" t="s">
        <v>485</v>
      </c>
      <c r="J14" s="114"/>
    </row>
    <row r="15" spans="1:11" x14ac:dyDescent="0.25">
      <c r="A15" s="34">
        <v>10</v>
      </c>
      <c r="B15" s="109" t="s">
        <v>33</v>
      </c>
      <c r="C15" s="63" t="s">
        <v>415</v>
      </c>
      <c r="D15" s="56">
        <v>94</v>
      </c>
      <c r="F15" s="84"/>
      <c r="G15" s="84">
        <v>19200</v>
      </c>
      <c r="H15" s="125"/>
      <c r="I15" s="114" t="s">
        <v>69</v>
      </c>
      <c r="J15"/>
    </row>
    <row r="16" spans="1:11" x14ac:dyDescent="0.25">
      <c r="A16" s="34"/>
      <c r="B16" s="33"/>
      <c r="C16" s="83"/>
      <c r="F16" s="125"/>
      <c r="G16" s="44"/>
      <c r="H16" s="125"/>
    </row>
    <row r="17" spans="1:11" x14ac:dyDescent="0.25">
      <c r="A17" s="34"/>
      <c r="B17" s="33"/>
      <c r="C17" s="83"/>
      <c r="F17" s="125"/>
      <c r="G17" s="132"/>
      <c r="H17" s="125"/>
    </row>
    <row r="18" spans="1:11" x14ac:dyDescent="0.25">
      <c r="A18" s="34"/>
      <c r="B18" s="33"/>
      <c r="C18" s="83"/>
      <c r="F18" s="125"/>
      <c r="G18" s="132"/>
      <c r="H18" s="125"/>
    </row>
    <row r="19" spans="1:11" x14ac:dyDescent="0.25">
      <c r="A19" s="118"/>
      <c r="B19" s="118"/>
      <c r="C19" s="118" t="s">
        <v>318</v>
      </c>
      <c r="D19" s="119"/>
      <c r="E19" s="119"/>
      <c r="F19" s="126"/>
      <c r="G19" s="118"/>
      <c r="H19" s="126"/>
      <c r="I19" s="119"/>
      <c r="J19" s="119"/>
    </row>
    <row r="20" spans="1:11" x14ac:dyDescent="0.25">
      <c r="A20" s="34"/>
      <c r="B20" s="109"/>
      <c r="F20" s="125"/>
      <c r="G20" s="84"/>
      <c r="H20" s="125"/>
      <c r="I20" s="114"/>
      <c r="J20" s="114"/>
    </row>
    <row r="21" spans="1:11" x14ac:dyDescent="0.25">
      <c r="A21" s="34">
        <v>11</v>
      </c>
      <c r="B21" s="109" t="s">
        <v>31</v>
      </c>
      <c r="C21" t="s">
        <v>386</v>
      </c>
      <c r="D21" s="56">
        <v>26</v>
      </c>
      <c r="F21" s="84"/>
      <c r="G21" s="84">
        <v>2040</v>
      </c>
      <c r="H21" s="125"/>
      <c r="I21" s="114" t="s">
        <v>69</v>
      </c>
    </row>
    <row r="22" spans="1:11" x14ac:dyDescent="0.25">
      <c r="A22" s="34">
        <v>12</v>
      </c>
      <c r="B22" s="109" t="s">
        <v>31</v>
      </c>
      <c r="C22" t="s">
        <v>237</v>
      </c>
      <c r="D22" s="56">
        <v>51</v>
      </c>
      <c r="F22" s="125"/>
      <c r="G22" s="84">
        <v>7680</v>
      </c>
      <c r="H22" s="125">
        <v>695</v>
      </c>
      <c r="I22" s="114" t="s">
        <v>353</v>
      </c>
      <c r="J22" s="114"/>
    </row>
    <row r="23" spans="1:11" x14ac:dyDescent="0.25">
      <c r="A23" s="34">
        <v>13</v>
      </c>
      <c r="B23" s="109" t="s">
        <v>31</v>
      </c>
      <c r="C23" t="s">
        <v>233</v>
      </c>
      <c r="D23" s="56">
        <v>18</v>
      </c>
      <c r="F23" s="84"/>
      <c r="G23" s="84">
        <v>7680</v>
      </c>
      <c r="H23" s="125">
        <v>695</v>
      </c>
      <c r="I23" s="56" t="s">
        <v>69</v>
      </c>
    </row>
    <row r="24" spans="1:11" s="61" customFormat="1" x14ac:dyDescent="0.25">
      <c r="A24" s="203"/>
      <c r="B24" s="172" t="s">
        <v>31</v>
      </c>
      <c r="C24" s="61" t="s">
        <v>389</v>
      </c>
      <c r="D24" s="133">
        <v>35</v>
      </c>
      <c r="E24" s="133" t="s">
        <v>155</v>
      </c>
      <c r="F24" s="136"/>
      <c r="G24" s="136"/>
      <c r="H24" s="136"/>
      <c r="I24" s="137" t="s">
        <v>69</v>
      </c>
      <c r="J24" s="133"/>
    </row>
    <row r="25" spans="1:11" x14ac:dyDescent="0.25">
      <c r="A25" s="34">
        <v>15</v>
      </c>
      <c r="B25" s="109" t="s">
        <v>31</v>
      </c>
      <c r="C25" t="s">
        <v>370</v>
      </c>
      <c r="D25" s="56">
        <v>61</v>
      </c>
      <c r="F25" s="84"/>
      <c r="G25" s="84">
        <v>2040</v>
      </c>
      <c r="H25" s="125"/>
      <c r="I25" s="114" t="s">
        <v>69</v>
      </c>
      <c r="J25" s="56">
        <f>SUM(J1:J22)</f>
        <v>0</v>
      </c>
    </row>
    <row r="26" spans="1:11" x14ac:dyDescent="0.25">
      <c r="A26" s="34">
        <v>16</v>
      </c>
      <c r="B26" s="109" t="s">
        <v>31</v>
      </c>
      <c r="C26" t="s">
        <v>295</v>
      </c>
      <c r="D26" s="56">
        <v>35</v>
      </c>
      <c r="F26" s="84"/>
      <c r="G26" s="84">
        <v>2040</v>
      </c>
      <c r="H26" s="125"/>
      <c r="I26" s="56">
        <v>-3</v>
      </c>
    </row>
    <row r="27" spans="1:11" x14ac:dyDescent="0.25">
      <c r="A27" s="34">
        <v>17</v>
      </c>
      <c r="B27" s="109" t="s">
        <v>31</v>
      </c>
      <c r="C27" s="63" t="s">
        <v>338</v>
      </c>
      <c r="D27" s="56">
        <v>62</v>
      </c>
      <c r="F27" s="125"/>
      <c r="G27" s="84">
        <v>1900</v>
      </c>
      <c r="H27" s="125"/>
      <c r="I27" s="114" t="s">
        <v>69</v>
      </c>
      <c r="J27" s="114"/>
    </row>
    <row r="28" spans="1:11" x14ac:dyDescent="0.25">
      <c r="A28" s="34">
        <v>18</v>
      </c>
      <c r="B28" s="109" t="s">
        <v>31</v>
      </c>
      <c r="C28" t="s">
        <v>339</v>
      </c>
      <c r="D28" s="56" t="s">
        <v>486</v>
      </c>
      <c r="F28" s="125"/>
      <c r="G28" s="84">
        <v>12800</v>
      </c>
      <c r="H28" s="125"/>
      <c r="I28" s="114">
        <v>-8</v>
      </c>
      <c r="J28" s="114"/>
    </row>
    <row r="29" spans="1:11" x14ac:dyDescent="0.25">
      <c r="A29" s="34">
        <v>19</v>
      </c>
      <c r="B29" s="109" t="s">
        <v>31</v>
      </c>
      <c r="C29" t="s">
        <v>373</v>
      </c>
      <c r="D29" s="56">
        <v>60</v>
      </c>
      <c r="F29" s="84"/>
      <c r="G29" s="84">
        <v>2040</v>
      </c>
      <c r="H29" s="125"/>
      <c r="I29" s="114">
        <v>-3</v>
      </c>
    </row>
    <row r="30" spans="1:11" x14ac:dyDescent="0.25">
      <c r="A30" s="34">
        <v>20</v>
      </c>
      <c r="B30" s="109" t="s">
        <v>31</v>
      </c>
      <c r="C30" t="s">
        <v>363</v>
      </c>
      <c r="D30" s="56">
        <v>74</v>
      </c>
      <c r="F30" s="84"/>
      <c r="G30" s="84">
        <v>9600</v>
      </c>
      <c r="H30" s="125"/>
      <c r="I30" s="114" t="s">
        <v>69</v>
      </c>
    </row>
    <row r="31" spans="1:11" x14ac:dyDescent="0.25">
      <c r="A31" s="34">
        <v>21</v>
      </c>
      <c r="B31" s="109" t="s">
        <v>31</v>
      </c>
      <c r="C31" t="s">
        <v>365</v>
      </c>
      <c r="D31" s="56">
        <v>75</v>
      </c>
      <c r="F31" s="84"/>
      <c r="G31" s="84">
        <v>7680</v>
      </c>
      <c r="H31" s="125"/>
      <c r="I31" s="114" t="s">
        <v>353</v>
      </c>
    </row>
    <row r="32" spans="1:11" x14ac:dyDescent="0.25">
      <c r="A32" s="34">
        <v>22</v>
      </c>
      <c r="B32" s="109" t="s">
        <v>31</v>
      </c>
      <c r="C32" s="63" t="s">
        <v>341</v>
      </c>
      <c r="D32" s="153" t="s">
        <v>487</v>
      </c>
      <c r="E32" s="153" t="s">
        <v>327</v>
      </c>
      <c r="F32" s="125"/>
      <c r="G32" s="125">
        <v>8640</v>
      </c>
      <c r="H32" s="125">
        <v>3995</v>
      </c>
      <c r="I32" s="154">
        <v>-13</v>
      </c>
      <c r="J32" s="137"/>
      <c r="K32" s="61"/>
    </row>
    <row r="33" spans="1:11" x14ac:dyDescent="0.25">
      <c r="A33" s="34">
        <v>23</v>
      </c>
      <c r="B33" s="109" t="s">
        <v>31</v>
      </c>
      <c r="C33" s="63" t="s">
        <v>496</v>
      </c>
      <c r="D33" s="153"/>
      <c r="E33" s="153"/>
      <c r="F33" s="125"/>
      <c r="G33" s="125">
        <v>2040</v>
      </c>
      <c r="H33" s="125"/>
      <c r="I33" s="190" t="s">
        <v>77</v>
      </c>
      <c r="J33" s="137"/>
      <c r="K33" s="61"/>
    </row>
    <row r="34" spans="1:11" x14ac:dyDescent="0.25">
      <c r="A34" s="34">
        <v>24</v>
      </c>
      <c r="B34" s="109" t="s">
        <v>31</v>
      </c>
      <c r="C34" s="63" t="s">
        <v>394</v>
      </c>
      <c r="D34" s="56">
        <v>44</v>
      </c>
      <c r="F34" s="84"/>
      <c r="G34" s="84">
        <v>2040</v>
      </c>
      <c r="H34" s="125"/>
      <c r="I34" s="114" t="s">
        <v>69</v>
      </c>
    </row>
    <row r="35" spans="1:11" x14ac:dyDescent="0.25">
      <c r="A35" s="34">
        <v>25</v>
      </c>
      <c r="B35" s="109" t="s">
        <v>31</v>
      </c>
      <c r="C35" t="s">
        <v>374</v>
      </c>
      <c r="D35" s="189">
        <v>37653</v>
      </c>
      <c r="F35" s="84"/>
      <c r="G35" s="84">
        <v>9600</v>
      </c>
      <c r="H35" s="125"/>
      <c r="I35" s="114" t="s">
        <v>69</v>
      </c>
    </row>
    <row r="36" spans="1:11" x14ac:dyDescent="0.25">
      <c r="A36" s="34">
        <v>26</v>
      </c>
      <c r="B36" s="109" t="s">
        <v>31</v>
      </c>
      <c r="C36" t="s">
        <v>387</v>
      </c>
      <c r="D36" s="56">
        <v>95</v>
      </c>
      <c r="F36" s="84"/>
      <c r="G36" s="84">
        <v>6800</v>
      </c>
      <c r="H36" s="125"/>
      <c r="I36" s="114">
        <v>10</v>
      </c>
    </row>
    <row r="37" spans="1:11" x14ac:dyDescent="0.25">
      <c r="A37" s="34">
        <v>27</v>
      </c>
      <c r="B37" s="109" t="s">
        <v>31</v>
      </c>
      <c r="C37" s="63" t="s">
        <v>342</v>
      </c>
      <c r="D37" s="56" t="s">
        <v>488</v>
      </c>
      <c r="F37" s="125"/>
      <c r="G37" s="84">
        <v>5120</v>
      </c>
      <c r="H37" s="125"/>
      <c r="I37" s="114" t="s">
        <v>69</v>
      </c>
      <c r="J37" s="114"/>
    </row>
    <row r="38" spans="1:11" x14ac:dyDescent="0.25">
      <c r="A38" s="34">
        <v>28</v>
      </c>
      <c r="B38" s="109" t="s">
        <v>31</v>
      </c>
      <c r="C38" t="s">
        <v>384</v>
      </c>
      <c r="D38" s="56">
        <v>11</v>
      </c>
      <c r="F38" s="84"/>
      <c r="G38" s="84">
        <v>3840</v>
      </c>
      <c r="H38" s="125"/>
      <c r="I38" s="114" t="s">
        <v>69</v>
      </c>
    </row>
    <row r="39" spans="1:11" x14ac:dyDescent="0.25">
      <c r="A39" s="34">
        <v>29</v>
      </c>
      <c r="B39" s="109" t="s">
        <v>31</v>
      </c>
      <c r="C39" t="s">
        <v>91</v>
      </c>
      <c r="D39" s="56" t="s">
        <v>489</v>
      </c>
      <c r="F39" s="84"/>
      <c r="G39" s="84">
        <v>15360</v>
      </c>
      <c r="H39" s="125"/>
      <c r="I39" s="114">
        <v>-32</v>
      </c>
    </row>
    <row r="40" spans="1:11" x14ac:dyDescent="0.25">
      <c r="A40" s="34">
        <v>30</v>
      </c>
      <c r="B40" s="109" t="s">
        <v>31</v>
      </c>
      <c r="C40" t="s">
        <v>361</v>
      </c>
      <c r="D40" s="56">
        <v>75</v>
      </c>
      <c r="F40" s="84"/>
      <c r="G40" s="84"/>
      <c r="H40" s="125"/>
      <c r="I40" s="56" t="s">
        <v>261</v>
      </c>
    </row>
    <row r="41" spans="1:11" x14ac:dyDescent="0.25">
      <c r="A41" s="34">
        <v>31</v>
      </c>
      <c r="B41" s="109" t="s">
        <v>31</v>
      </c>
      <c r="C41" t="s">
        <v>343</v>
      </c>
      <c r="D41" s="56">
        <v>84</v>
      </c>
      <c r="F41" s="125"/>
      <c r="G41" s="84">
        <v>2720</v>
      </c>
      <c r="H41" s="125">
        <v>695</v>
      </c>
      <c r="I41" s="114">
        <v>-1</v>
      </c>
      <c r="J41" s="114"/>
    </row>
    <row r="42" spans="1:11" x14ac:dyDescent="0.25">
      <c r="A42" s="34">
        <v>32</v>
      </c>
      <c r="B42" s="109" t="s">
        <v>31</v>
      </c>
      <c r="C42" s="63" t="s">
        <v>490</v>
      </c>
      <c r="D42" s="56">
        <v>76</v>
      </c>
      <c r="F42" s="125"/>
      <c r="G42" s="84">
        <v>11520</v>
      </c>
      <c r="H42" s="125"/>
      <c r="I42" s="190" t="s">
        <v>77</v>
      </c>
      <c r="J42" s="114"/>
    </row>
    <row r="43" spans="1:11" x14ac:dyDescent="0.25">
      <c r="A43" s="34">
        <v>33</v>
      </c>
      <c r="B43" s="109" t="s">
        <v>31</v>
      </c>
      <c r="C43" t="s">
        <v>316</v>
      </c>
      <c r="D43" s="56">
        <v>14</v>
      </c>
      <c r="F43" s="84"/>
      <c r="G43" s="84">
        <v>7680</v>
      </c>
      <c r="H43" s="125"/>
      <c r="I43" s="56" t="s">
        <v>69</v>
      </c>
    </row>
    <row r="44" spans="1:11" x14ac:dyDescent="0.25">
      <c r="A44" s="34">
        <v>34</v>
      </c>
      <c r="B44" s="109" t="s">
        <v>31</v>
      </c>
      <c r="C44" t="s">
        <v>402</v>
      </c>
      <c r="D44" s="56">
        <v>25</v>
      </c>
      <c r="F44" s="84"/>
      <c r="G44" s="84">
        <v>2040</v>
      </c>
      <c r="H44" s="125"/>
      <c r="I44" s="114" t="s">
        <v>69</v>
      </c>
      <c r="J44"/>
    </row>
    <row r="45" spans="1:11" x14ac:dyDescent="0.25">
      <c r="A45" s="34">
        <v>35</v>
      </c>
      <c r="B45" s="109" t="s">
        <v>31</v>
      </c>
      <c r="C45" t="s">
        <v>346</v>
      </c>
      <c r="D45" s="56">
        <v>9</v>
      </c>
      <c r="F45" s="125"/>
      <c r="G45" s="84">
        <v>3060</v>
      </c>
      <c r="H45" s="125"/>
      <c r="I45" s="114" t="s">
        <v>371</v>
      </c>
      <c r="J45" s="114"/>
    </row>
    <row r="46" spans="1:11" x14ac:dyDescent="0.25">
      <c r="A46" s="34">
        <v>36</v>
      </c>
      <c r="B46" s="109" t="s">
        <v>31</v>
      </c>
      <c r="C46" t="s">
        <v>347</v>
      </c>
      <c r="D46" s="56" t="s">
        <v>491</v>
      </c>
      <c r="F46" s="125"/>
      <c r="G46" s="84">
        <v>4080</v>
      </c>
      <c r="H46" s="84"/>
      <c r="I46" s="56">
        <v>6</v>
      </c>
      <c r="J46" s="119"/>
    </row>
    <row r="47" spans="1:11" x14ac:dyDescent="0.25">
      <c r="A47" s="34">
        <v>37</v>
      </c>
      <c r="B47" s="109" t="s">
        <v>31</v>
      </c>
      <c r="C47" s="63" t="s">
        <v>383</v>
      </c>
      <c r="D47" s="56">
        <v>96</v>
      </c>
      <c r="F47" s="84"/>
      <c r="G47" s="84">
        <v>6400</v>
      </c>
      <c r="H47" s="125">
        <v>695</v>
      </c>
      <c r="I47" s="114" t="s">
        <v>69</v>
      </c>
    </row>
    <row r="48" spans="1:11" x14ac:dyDescent="0.25">
      <c r="A48" s="34">
        <v>38</v>
      </c>
      <c r="B48" s="109" t="s">
        <v>31</v>
      </c>
      <c r="C48" t="s">
        <v>348</v>
      </c>
      <c r="D48" s="56">
        <v>36</v>
      </c>
      <c r="F48" s="84"/>
      <c r="G48" s="84">
        <v>2040</v>
      </c>
      <c r="H48" s="84"/>
      <c r="I48" s="114" t="s">
        <v>69</v>
      </c>
    </row>
    <row r="49" spans="1:10" x14ac:dyDescent="0.25">
      <c r="A49" s="34">
        <v>39</v>
      </c>
      <c r="B49" s="109" t="s">
        <v>31</v>
      </c>
      <c r="C49" t="s">
        <v>95</v>
      </c>
      <c r="D49" s="56">
        <v>31</v>
      </c>
      <c r="F49" s="84"/>
      <c r="G49" s="84">
        <v>2720</v>
      </c>
      <c r="H49" s="125"/>
      <c r="I49" s="114">
        <v>-1</v>
      </c>
    </row>
    <row r="50" spans="1:10" x14ac:dyDescent="0.25">
      <c r="A50" s="34">
        <v>40</v>
      </c>
      <c r="B50" s="109" t="s">
        <v>31</v>
      </c>
      <c r="C50" t="s">
        <v>349</v>
      </c>
      <c r="D50" s="56">
        <v>59</v>
      </c>
      <c r="F50" s="84"/>
      <c r="G50" s="84">
        <v>2040</v>
      </c>
      <c r="H50" s="84"/>
      <c r="I50" s="114" t="s">
        <v>69</v>
      </c>
      <c r="J50" s="114"/>
    </row>
    <row r="51" spans="1:10" x14ac:dyDescent="0.25">
      <c r="A51" s="34">
        <v>41</v>
      </c>
      <c r="B51" s="109" t="s">
        <v>31</v>
      </c>
      <c r="C51" t="s">
        <v>98</v>
      </c>
      <c r="D51" s="56">
        <v>15</v>
      </c>
      <c r="F51" s="84"/>
      <c r="G51" s="84">
        <v>7680</v>
      </c>
      <c r="H51" s="84"/>
      <c r="I51" s="114" t="s">
        <v>69</v>
      </c>
      <c r="J51" s="114"/>
    </row>
    <row r="52" spans="1:10" x14ac:dyDescent="0.25">
      <c r="A52" s="34">
        <v>42</v>
      </c>
      <c r="B52" s="109" t="s">
        <v>31</v>
      </c>
      <c r="C52" t="s">
        <v>350</v>
      </c>
      <c r="D52" s="56">
        <v>27</v>
      </c>
      <c r="F52" s="84"/>
      <c r="G52" s="84">
        <v>2040</v>
      </c>
      <c r="H52" s="84">
        <v>695</v>
      </c>
      <c r="I52" s="114" t="s">
        <v>69</v>
      </c>
      <c r="J52" s="114"/>
    </row>
    <row r="53" spans="1:10" x14ac:dyDescent="0.25">
      <c r="A53" s="34">
        <v>43</v>
      </c>
      <c r="B53" s="109" t="s">
        <v>31</v>
      </c>
      <c r="C53" t="s">
        <v>497</v>
      </c>
      <c r="D53" s="56">
        <v>4</v>
      </c>
      <c r="F53" s="84"/>
      <c r="G53" s="84">
        <v>4080</v>
      </c>
      <c r="H53" s="84"/>
      <c r="I53" s="198" t="s">
        <v>77</v>
      </c>
      <c r="J53" s="114"/>
    </row>
    <row r="54" spans="1:10" x14ac:dyDescent="0.25">
      <c r="A54" s="34">
        <v>44</v>
      </c>
      <c r="B54" s="109" t="s">
        <v>31</v>
      </c>
      <c r="C54" t="s">
        <v>385</v>
      </c>
      <c r="D54" s="56">
        <v>49</v>
      </c>
      <c r="F54" s="84"/>
      <c r="G54" s="84">
        <v>2720</v>
      </c>
      <c r="H54" s="125"/>
      <c r="I54" s="114" t="s">
        <v>69</v>
      </c>
    </row>
    <row r="55" spans="1:10" x14ac:dyDescent="0.25">
      <c r="A55" s="34">
        <v>45</v>
      </c>
      <c r="B55" s="109" t="s">
        <v>31</v>
      </c>
      <c r="C55" t="s">
        <v>351</v>
      </c>
      <c r="D55" s="56">
        <v>24</v>
      </c>
      <c r="F55" s="84"/>
      <c r="G55" s="84">
        <v>2040</v>
      </c>
      <c r="H55" s="84"/>
      <c r="I55" s="114" t="s">
        <v>69</v>
      </c>
      <c r="J55" s="114"/>
    </row>
    <row r="56" spans="1:10" x14ac:dyDescent="0.25">
      <c r="A56" s="34">
        <v>46</v>
      </c>
      <c r="B56" s="109" t="s">
        <v>31</v>
      </c>
      <c r="C56" t="s">
        <v>158</v>
      </c>
      <c r="D56" s="56">
        <v>34</v>
      </c>
      <c r="F56" s="84"/>
      <c r="G56" s="84">
        <v>7680</v>
      </c>
      <c r="H56" s="84"/>
      <c r="I56" s="114"/>
      <c r="J56" s="114"/>
    </row>
    <row r="57" spans="1:10" x14ac:dyDescent="0.25">
      <c r="A57" s="34">
        <v>47</v>
      </c>
      <c r="B57" s="109" t="s">
        <v>31</v>
      </c>
      <c r="C57" t="s">
        <v>39</v>
      </c>
      <c r="D57" s="56">
        <v>19</v>
      </c>
      <c r="E57" s="56" t="s">
        <v>226</v>
      </c>
      <c r="F57" s="84">
        <v>795</v>
      </c>
      <c r="G57" s="84">
        <v>7680</v>
      </c>
      <c r="H57" s="84">
        <v>795</v>
      </c>
      <c r="I57" s="114" t="s">
        <v>69</v>
      </c>
      <c r="J57" s="114"/>
    </row>
    <row r="58" spans="1:10" x14ac:dyDescent="0.25">
      <c r="A58" s="34">
        <v>48</v>
      </c>
      <c r="B58" s="109" t="s">
        <v>31</v>
      </c>
      <c r="C58" t="s">
        <v>290</v>
      </c>
      <c r="D58" s="56">
        <v>63</v>
      </c>
      <c r="F58" s="84"/>
      <c r="G58" s="84">
        <v>2720</v>
      </c>
      <c r="H58" s="125"/>
      <c r="I58" s="114" t="s">
        <v>356</v>
      </c>
    </row>
    <row r="59" spans="1:10" x14ac:dyDescent="0.25">
      <c r="A59" s="34">
        <v>49</v>
      </c>
      <c r="B59" s="109" t="s">
        <v>31</v>
      </c>
      <c r="C59" t="s">
        <v>99</v>
      </c>
      <c r="D59" s="56">
        <v>58</v>
      </c>
      <c r="F59" s="84"/>
      <c r="G59" s="84">
        <v>7680</v>
      </c>
      <c r="H59" s="125"/>
      <c r="I59" s="56">
        <v>4</v>
      </c>
    </row>
    <row r="60" spans="1:10" x14ac:dyDescent="0.25">
      <c r="A60" s="34">
        <v>50</v>
      </c>
      <c r="B60" s="109" t="s">
        <v>31</v>
      </c>
      <c r="C60" t="s">
        <v>369</v>
      </c>
      <c r="D60" s="56">
        <v>29</v>
      </c>
      <c r="F60" s="84"/>
      <c r="G60" s="84">
        <v>4080</v>
      </c>
      <c r="H60" s="125"/>
      <c r="I60" s="56" t="s">
        <v>69</v>
      </c>
    </row>
    <row r="61" spans="1:10" x14ac:dyDescent="0.25">
      <c r="A61" s="34">
        <v>51</v>
      </c>
      <c r="B61" s="109" t="s">
        <v>31</v>
      </c>
      <c r="C61" t="s">
        <v>124</v>
      </c>
      <c r="D61" s="56" t="s">
        <v>502</v>
      </c>
      <c r="F61" s="84"/>
      <c r="G61" s="84">
        <v>1870</v>
      </c>
      <c r="H61" s="125"/>
      <c r="I61" s="114"/>
    </row>
    <row r="62" spans="1:10" x14ac:dyDescent="0.25">
      <c r="A62" s="34">
        <v>52</v>
      </c>
      <c r="B62" s="109" t="s">
        <v>31</v>
      </c>
      <c r="C62" t="s">
        <v>310</v>
      </c>
      <c r="D62" s="56">
        <v>87</v>
      </c>
      <c r="F62" s="84"/>
      <c r="G62" s="84">
        <v>2720</v>
      </c>
      <c r="H62" s="125"/>
      <c r="I62" s="114" t="s">
        <v>69</v>
      </c>
      <c r="J62"/>
    </row>
    <row r="63" spans="1:10" x14ac:dyDescent="0.25">
      <c r="A63" s="34">
        <v>53</v>
      </c>
      <c r="B63" s="109" t="s">
        <v>31</v>
      </c>
      <c r="C63" t="s">
        <v>499</v>
      </c>
      <c r="F63" s="84"/>
      <c r="G63" s="84">
        <v>2040</v>
      </c>
      <c r="H63" s="125"/>
      <c r="I63" s="114"/>
      <c r="J63"/>
    </row>
    <row r="64" spans="1:10" x14ac:dyDescent="0.25">
      <c r="A64" s="34">
        <v>54</v>
      </c>
      <c r="B64" s="109" t="s">
        <v>31</v>
      </c>
      <c r="C64" s="63" t="s">
        <v>400</v>
      </c>
      <c r="D64" s="56">
        <v>77</v>
      </c>
      <c r="E64" s="133" t="s">
        <v>498</v>
      </c>
      <c r="F64" s="84"/>
      <c r="G64" s="84">
        <v>7680</v>
      </c>
      <c r="H64" s="125"/>
      <c r="I64" s="114" t="s">
        <v>353</v>
      </c>
    </row>
    <row r="65" spans="1:10" x14ac:dyDescent="0.25">
      <c r="A65" s="34">
        <v>55</v>
      </c>
      <c r="B65" s="109" t="s">
        <v>31</v>
      </c>
      <c r="C65" t="s">
        <v>235</v>
      </c>
      <c r="D65" s="56">
        <v>12</v>
      </c>
      <c r="F65" s="84"/>
      <c r="G65" s="84">
        <v>2720</v>
      </c>
      <c r="H65" s="125"/>
      <c r="I65" s="114" t="s">
        <v>77</v>
      </c>
      <c r="J65"/>
    </row>
    <row r="66" spans="1:10" x14ac:dyDescent="0.25">
      <c r="A66" s="34">
        <v>56</v>
      </c>
      <c r="B66" s="109" t="s">
        <v>31</v>
      </c>
      <c r="C66" t="s">
        <v>500</v>
      </c>
      <c r="D66" s="56">
        <v>8</v>
      </c>
      <c r="F66" s="84"/>
      <c r="G66" s="84">
        <v>3060</v>
      </c>
      <c r="H66" s="125"/>
      <c r="I66" s="198" t="s">
        <v>77</v>
      </c>
      <c r="J66"/>
    </row>
    <row r="67" spans="1:10" x14ac:dyDescent="0.25">
      <c r="A67" s="34">
        <v>57</v>
      </c>
      <c r="B67" s="109" t="s">
        <v>31</v>
      </c>
      <c r="C67" s="63" t="s">
        <v>360</v>
      </c>
      <c r="D67" s="56">
        <v>92</v>
      </c>
      <c r="F67" s="84"/>
      <c r="G67" s="84">
        <v>6400</v>
      </c>
      <c r="H67" s="125"/>
    </row>
    <row r="68" spans="1:10" x14ac:dyDescent="0.25">
      <c r="A68" s="34">
        <v>58</v>
      </c>
      <c r="B68" s="109" t="s">
        <v>31</v>
      </c>
      <c r="C68" t="s">
        <v>503</v>
      </c>
      <c r="D68" s="56">
        <v>13</v>
      </c>
      <c r="G68" s="84">
        <v>2720</v>
      </c>
      <c r="I68" s="198" t="s">
        <v>77</v>
      </c>
    </row>
    <row r="69" spans="1:10" x14ac:dyDescent="0.25">
      <c r="A69" s="34">
        <v>59</v>
      </c>
      <c r="B69" s="109" t="s">
        <v>31</v>
      </c>
      <c r="C69" t="s">
        <v>506</v>
      </c>
      <c r="F69" s="84"/>
      <c r="G69" s="84">
        <v>2040</v>
      </c>
      <c r="H69" s="125"/>
      <c r="I69" s="114"/>
      <c r="J69"/>
    </row>
    <row r="70" spans="1:10" x14ac:dyDescent="0.25">
      <c r="A70" s="34">
        <v>60</v>
      </c>
      <c r="B70" s="109" t="s">
        <v>31</v>
      </c>
      <c r="C70" s="63" t="s">
        <v>401</v>
      </c>
      <c r="F70" s="84"/>
      <c r="G70" s="84">
        <v>2040</v>
      </c>
      <c r="H70" s="125"/>
      <c r="I70" s="114"/>
      <c r="J70"/>
    </row>
    <row r="71" spans="1:10" x14ac:dyDescent="0.25">
      <c r="A71" s="34">
        <v>61</v>
      </c>
      <c r="B71" s="109" t="s">
        <v>31</v>
      </c>
      <c r="C71" t="s">
        <v>507</v>
      </c>
      <c r="D71" s="56">
        <v>89</v>
      </c>
      <c r="F71" s="84"/>
      <c r="G71" s="84">
        <v>2014</v>
      </c>
      <c r="H71" s="125"/>
      <c r="I71" s="198" t="s">
        <v>77</v>
      </c>
      <c r="J71"/>
    </row>
    <row r="72" spans="1:10" x14ac:dyDescent="0.25">
      <c r="A72" s="34">
        <v>62</v>
      </c>
      <c r="B72" s="109" t="s">
        <v>31</v>
      </c>
      <c r="C72" t="s">
        <v>508</v>
      </c>
      <c r="D72" s="56">
        <v>56</v>
      </c>
      <c r="F72" s="84"/>
      <c r="G72" s="84">
        <v>4080</v>
      </c>
      <c r="H72" s="125"/>
      <c r="I72" s="198" t="s">
        <v>77</v>
      </c>
      <c r="J72"/>
    </row>
    <row r="73" spans="1:10" x14ac:dyDescent="0.25">
      <c r="A73" s="34"/>
      <c r="B73" s="109"/>
      <c r="C73" t="s">
        <v>234</v>
      </c>
      <c r="D73" s="56">
        <v>33</v>
      </c>
      <c r="F73" s="84"/>
      <c r="G73" s="84">
        <v>5120</v>
      </c>
      <c r="H73" s="125"/>
      <c r="I73" s="198"/>
      <c r="J73"/>
    </row>
    <row r="74" spans="1:10" x14ac:dyDescent="0.25">
      <c r="A74" s="34"/>
      <c r="B74" s="109"/>
      <c r="C74" t="s">
        <v>520</v>
      </c>
      <c r="D74" s="56">
        <v>41</v>
      </c>
      <c r="F74" s="84"/>
      <c r="G74" s="84">
        <v>2040</v>
      </c>
      <c r="H74" s="125"/>
      <c r="I74" s="198"/>
      <c r="J74"/>
    </row>
    <row r="75" spans="1:10" x14ac:dyDescent="0.25">
      <c r="A75" s="34"/>
      <c r="B75" s="109"/>
      <c r="C75" t="s">
        <v>521</v>
      </c>
      <c r="F75" s="84"/>
      <c r="G75" s="84">
        <v>2720</v>
      </c>
      <c r="H75" s="125"/>
      <c r="I75" s="198"/>
      <c r="J75"/>
    </row>
    <row r="76" spans="1:10" x14ac:dyDescent="0.25">
      <c r="A76" s="34"/>
      <c r="B76" s="109"/>
      <c r="C76" t="s">
        <v>522</v>
      </c>
      <c r="F76" s="84"/>
      <c r="G76" s="84">
        <v>2040</v>
      </c>
      <c r="H76" s="125"/>
      <c r="I76" s="198"/>
      <c r="J76"/>
    </row>
    <row r="78" spans="1:10" x14ac:dyDescent="0.25">
      <c r="A78" s="34"/>
      <c r="B78" s="109" t="s">
        <v>31</v>
      </c>
      <c r="C78" s="61" t="s">
        <v>411</v>
      </c>
      <c r="F78" s="84"/>
      <c r="G78" s="84"/>
      <c r="H78" s="125"/>
      <c r="I78" s="114"/>
      <c r="J78"/>
    </row>
    <row r="79" spans="1:10" x14ac:dyDescent="0.25">
      <c r="A79" s="34"/>
      <c r="B79" s="109" t="s">
        <v>31</v>
      </c>
      <c r="C79" s="61" t="s">
        <v>412</v>
      </c>
      <c r="F79" s="84"/>
      <c r="G79" s="84"/>
      <c r="H79" s="125"/>
      <c r="I79" s="114"/>
      <c r="J79"/>
    </row>
    <row r="80" spans="1:10" x14ac:dyDescent="0.25">
      <c r="A80" s="34"/>
      <c r="B80" s="109" t="s">
        <v>31</v>
      </c>
      <c r="C80" s="61" t="s">
        <v>393</v>
      </c>
      <c r="F80" s="84"/>
      <c r="G80" s="84"/>
      <c r="H80" s="125"/>
      <c r="I80" s="114"/>
    </row>
    <row r="81" spans="1:10" x14ac:dyDescent="0.25">
      <c r="A81" s="34"/>
      <c r="B81" s="109" t="s">
        <v>31</v>
      </c>
      <c r="C81" s="61" t="s">
        <v>380</v>
      </c>
      <c r="F81" s="84"/>
      <c r="G81" s="84"/>
      <c r="H81" s="125"/>
      <c r="I81" s="114"/>
    </row>
    <row r="82" spans="1:10" x14ac:dyDescent="0.25">
      <c r="A82" s="34"/>
      <c r="B82" s="109" t="s">
        <v>31</v>
      </c>
      <c r="C82" s="61" t="s">
        <v>414</v>
      </c>
      <c r="F82" s="84"/>
      <c r="G82" s="84"/>
      <c r="H82" s="125"/>
      <c r="I82" s="114"/>
      <c r="J82"/>
    </row>
    <row r="83" spans="1:10" x14ac:dyDescent="0.25">
      <c r="A83" s="34"/>
      <c r="B83" s="109" t="s">
        <v>31</v>
      </c>
      <c r="C83" s="61" t="s">
        <v>433</v>
      </c>
      <c r="F83" s="84"/>
      <c r="G83" s="84"/>
      <c r="H83" s="125"/>
      <c r="I83" s="114"/>
      <c r="J83"/>
    </row>
    <row r="84" spans="1:10" x14ac:dyDescent="0.25">
      <c r="A84" s="34"/>
      <c r="B84" s="109" t="s">
        <v>31</v>
      </c>
      <c r="C84" s="61" t="s">
        <v>434</v>
      </c>
      <c r="F84" s="84"/>
      <c r="G84" s="84"/>
      <c r="H84" s="125"/>
      <c r="I84" s="114"/>
      <c r="J84"/>
    </row>
    <row r="85" spans="1:10" x14ac:dyDescent="0.25">
      <c r="A85" s="34"/>
      <c r="B85" s="109" t="s">
        <v>31</v>
      </c>
      <c r="C85" s="61" t="s">
        <v>368</v>
      </c>
      <c r="F85" s="84"/>
      <c r="G85" s="84"/>
      <c r="H85" s="125"/>
    </row>
    <row r="86" spans="1:10" x14ac:dyDescent="0.25">
      <c r="A86" s="34"/>
      <c r="B86" s="109" t="s">
        <v>31</v>
      </c>
      <c r="C86" s="61" t="s">
        <v>436</v>
      </c>
      <c r="F86" s="84"/>
      <c r="G86" s="84"/>
      <c r="H86" s="125"/>
      <c r="I86" s="114"/>
      <c r="J86"/>
    </row>
    <row r="87" spans="1:10" x14ac:dyDescent="0.25">
      <c r="A87" s="34"/>
      <c r="B87" s="109" t="s">
        <v>31</v>
      </c>
      <c r="C87" s="61" t="s">
        <v>438</v>
      </c>
      <c r="F87" s="84"/>
      <c r="G87" s="84"/>
      <c r="H87" s="125"/>
      <c r="I87" s="114"/>
      <c r="J87"/>
    </row>
    <row r="88" spans="1:10" x14ac:dyDescent="0.25">
      <c r="A88" s="34"/>
      <c r="B88" s="109" t="s">
        <v>31</v>
      </c>
      <c r="C88" s="61" t="s">
        <v>345</v>
      </c>
      <c r="F88" s="125"/>
      <c r="G88" s="84"/>
      <c r="H88" s="125"/>
      <c r="I88" s="114"/>
      <c r="J88" s="114"/>
    </row>
    <row r="90" spans="1:10" x14ac:dyDescent="0.25">
      <c r="A90">
        <v>63</v>
      </c>
      <c r="B90" s="109" t="s">
        <v>399</v>
      </c>
      <c r="C90" t="s">
        <v>435</v>
      </c>
      <c r="F90" s="84"/>
      <c r="G90" s="84"/>
      <c r="H90" s="125"/>
      <c r="I90" s="114"/>
      <c r="J90"/>
    </row>
    <row r="91" spans="1:10" x14ac:dyDescent="0.25">
      <c r="A91" s="34">
        <v>64</v>
      </c>
      <c r="B91" s="109" t="s">
        <v>399</v>
      </c>
      <c r="C91" s="83" t="s">
        <v>395</v>
      </c>
      <c r="D91" s="56" t="s">
        <v>94</v>
      </c>
      <c r="F91" s="84"/>
      <c r="G91" s="84">
        <v>0</v>
      </c>
      <c r="H91" s="125"/>
      <c r="I91" s="114"/>
      <c r="J91"/>
    </row>
    <row r="92" spans="1:10" x14ac:dyDescent="0.25">
      <c r="B92" s="109" t="s">
        <v>244</v>
      </c>
      <c r="C92" t="s">
        <v>390</v>
      </c>
      <c r="F92" s="84"/>
      <c r="G92" s="84"/>
      <c r="H92" s="125" t="s">
        <v>391</v>
      </c>
      <c r="I92" s="114"/>
      <c r="J92"/>
    </row>
    <row r="93" spans="1:10" x14ac:dyDescent="0.25">
      <c r="B93" s="109" t="s">
        <v>377</v>
      </c>
      <c r="C93" t="s">
        <v>376</v>
      </c>
      <c r="F93" s="84"/>
      <c r="G93" s="84"/>
      <c r="H93" s="125"/>
    </row>
    <row r="94" spans="1:10" x14ac:dyDescent="0.25">
      <c r="A94" s="34">
        <v>65</v>
      </c>
      <c r="B94" s="109" t="s">
        <v>367</v>
      </c>
      <c r="C94" s="83" t="s">
        <v>23</v>
      </c>
      <c r="D94" s="56">
        <v>65</v>
      </c>
      <c r="F94" s="125"/>
      <c r="G94" s="84">
        <v>0</v>
      </c>
      <c r="H94" s="125"/>
      <c r="I94" s="114" t="s">
        <v>69</v>
      </c>
      <c r="J94" s="114"/>
    </row>
    <row r="95" spans="1:10" x14ac:dyDescent="0.25">
      <c r="A95" s="34">
        <v>66</v>
      </c>
      <c r="B95" s="109" t="s">
        <v>367</v>
      </c>
      <c r="C95" s="83" t="s">
        <v>335</v>
      </c>
      <c r="D95" s="56">
        <v>77</v>
      </c>
      <c r="F95" s="125"/>
      <c r="G95" s="84">
        <v>680</v>
      </c>
      <c r="H95" s="84"/>
    </row>
    <row r="96" spans="1:10" x14ac:dyDescent="0.25">
      <c r="A96" s="34">
        <v>67</v>
      </c>
      <c r="B96" s="109" t="s">
        <v>367</v>
      </c>
      <c r="C96" s="83" t="s">
        <v>336</v>
      </c>
      <c r="D96" s="56">
        <v>72</v>
      </c>
      <c r="F96" s="125"/>
      <c r="G96" s="84">
        <v>3400</v>
      </c>
      <c r="H96" s="84">
        <v>150</v>
      </c>
    </row>
    <row r="97" spans="1:11" x14ac:dyDescent="0.25">
      <c r="A97" s="34">
        <v>68</v>
      </c>
      <c r="B97" s="109" t="s">
        <v>367</v>
      </c>
      <c r="C97" t="s">
        <v>337</v>
      </c>
      <c r="F97" s="125"/>
      <c r="G97" s="84"/>
      <c r="H97" s="84"/>
    </row>
    <row r="98" spans="1:11" x14ac:dyDescent="0.25">
      <c r="A98" s="34">
        <v>69</v>
      </c>
      <c r="B98" s="109" t="s">
        <v>243</v>
      </c>
      <c r="C98" s="83" t="s">
        <v>392</v>
      </c>
      <c r="D98" s="56" t="s">
        <v>94</v>
      </c>
      <c r="F98" s="125"/>
      <c r="G98" s="84">
        <v>0</v>
      </c>
      <c r="H98" s="84"/>
    </row>
    <row r="99" spans="1:11" x14ac:dyDescent="0.25">
      <c r="A99" s="34"/>
      <c r="B99" s="109" t="s">
        <v>259</v>
      </c>
      <c r="C99" s="83" t="s">
        <v>504</v>
      </c>
      <c r="F99" s="125"/>
      <c r="G99" s="84"/>
      <c r="H99" s="84">
        <v>995</v>
      </c>
    </row>
    <row r="100" spans="1:11" x14ac:dyDescent="0.25">
      <c r="A100" s="34"/>
      <c r="B100" s="109" t="s">
        <v>259</v>
      </c>
      <c r="C100" s="83" t="s">
        <v>505</v>
      </c>
      <c r="F100" s="125"/>
      <c r="G100" s="84"/>
      <c r="H100" s="84">
        <v>695</v>
      </c>
    </row>
    <row r="101" spans="1:11" x14ac:dyDescent="0.25">
      <c r="A101" s="34"/>
      <c r="B101" s="109" t="s">
        <v>259</v>
      </c>
      <c r="C101" t="s">
        <v>437</v>
      </c>
      <c r="F101" s="125"/>
      <c r="G101" s="84"/>
      <c r="H101" s="84"/>
    </row>
    <row r="102" spans="1:11" x14ac:dyDescent="0.25">
      <c r="B102" s="109" t="s">
        <v>259</v>
      </c>
      <c r="C102" t="s">
        <v>344</v>
      </c>
      <c r="D102" s="56" t="s">
        <v>94</v>
      </c>
      <c r="F102" s="125"/>
      <c r="G102" s="84">
        <v>0</v>
      </c>
      <c r="H102" s="125"/>
      <c r="I102" s="114" t="s">
        <v>69</v>
      </c>
    </row>
    <row r="103" spans="1:11" x14ac:dyDescent="0.25">
      <c r="A103" s="20"/>
      <c r="B103" s="21"/>
      <c r="C103" s="22" t="s">
        <v>62</v>
      </c>
      <c r="D103" s="47"/>
      <c r="E103" s="47"/>
      <c r="F103" s="23">
        <f>SUM(F6:F94)</f>
        <v>8580</v>
      </c>
      <c r="G103" s="23">
        <f>SUM(G6:G102)</f>
        <v>512024</v>
      </c>
      <c r="H103" s="23">
        <f>SUM(H6:H102)</f>
        <v>24095</v>
      </c>
      <c r="I103" s="115"/>
      <c r="J103" s="115"/>
      <c r="K103" s="88"/>
    </row>
    <row r="104" spans="1:11" x14ac:dyDescent="0.25">
      <c r="F104" s="84"/>
      <c r="G104" s="84">
        <v>512490</v>
      </c>
      <c r="H104" s="84"/>
    </row>
    <row r="105" spans="1:11" x14ac:dyDescent="0.25">
      <c r="F105" s="84"/>
      <c r="G105" s="84">
        <f>G104-G103</f>
        <v>466</v>
      </c>
      <c r="H105" s="84"/>
    </row>
    <row r="106" spans="1:11" x14ac:dyDescent="0.25">
      <c r="G106" t="s">
        <v>523</v>
      </c>
      <c r="H106" s="84"/>
    </row>
    <row r="107" spans="1:11" x14ac:dyDescent="0.25">
      <c r="F107" s="84"/>
      <c r="G107" t="s">
        <v>524</v>
      </c>
    </row>
  </sheetData>
  <pageMargins left="0.75" right="0.75" top="1" bottom="1" header="0.5" footer="0.5"/>
  <pageSetup paperSize="9" orientation="portrait" horizontalDpi="4294967292" verticalDpi="429496729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65"/>
  <sheetViews>
    <sheetView workbookViewId="0">
      <pane xSplit="4" ySplit="2" topLeftCell="AE3" activePane="bottomRight" state="frozen"/>
      <selection pane="topRight" activeCell="E1" sqref="E1"/>
      <selection pane="bottomLeft" activeCell="A3" sqref="A3"/>
      <selection pane="bottomRight" activeCell="AF7" sqref="AF7"/>
    </sheetView>
  </sheetViews>
  <sheetFormatPr defaultColWidth="8.7109375" defaultRowHeight="15" x14ac:dyDescent="0.25"/>
  <cols>
    <col min="1" max="1" width="22.7109375" customWidth="1"/>
    <col min="2" max="2" width="12.7109375" bestFit="1" customWidth="1"/>
    <col min="3" max="4" width="12.7109375" customWidth="1"/>
    <col min="5" max="6" width="12.7109375" bestFit="1" customWidth="1"/>
    <col min="7" max="32" width="12.7109375" customWidth="1"/>
    <col min="33" max="33" width="11.42578125" bestFit="1" customWidth="1"/>
    <col min="34" max="34" width="12.42578125" bestFit="1" customWidth="1"/>
  </cols>
  <sheetData>
    <row r="1" spans="1:34" ht="15.75" x14ac:dyDescent="0.25">
      <c r="A1" s="139" t="s">
        <v>323</v>
      </c>
      <c r="B1" s="142"/>
      <c r="C1" s="143"/>
      <c r="D1" s="143"/>
      <c r="E1" s="140" t="s">
        <v>1</v>
      </c>
      <c r="F1" s="140" t="s">
        <v>1</v>
      </c>
      <c r="G1" s="140" t="s">
        <v>1</v>
      </c>
      <c r="H1" s="140" t="s">
        <v>1</v>
      </c>
      <c r="I1" s="140" t="s">
        <v>362</v>
      </c>
      <c r="J1" s="140" t="s">
        <v>1</v>
      </c>
      <c r="K1" s="140" t="s">
        <v>1</v>
      </c>
      <c r="L1" s="140" t="s">
        <v>1</v>
      </c>
      <c r="M1" s="140" t="s">
        <v>1</v>
      </c>
      <c r="N1" s="140" t="s">
        <v>1</v>
      </c>
      <c r="O1" s="140" t="s">
        <v>1</v>
      </c>
      <c r="P1" s="140" t="s">
        <v>1</v>
      </c>
      <c r="Q1" s="140" t="s">
        <v>1</v>
      </c>
      <c r="R1" s="140" t="s">
        <v>362</v>
      </c>
      <c r="S1" s="140" t="s">
        <v>1</v>
      </c>
      <c r="T1" s="140" t="s">
        <v>1</v>
      </c>
      <c r="U1" s="140" t="s">
        <v>1</v>
      </c>
      <c r="V1" s="140" t="s">
        <v>1</v>
      </c>
      <c r="W1" s="140" t="s">
        <v>1</v>
      </c>
      <c r="X1" s="140" t="s">
        <v>1</v>
      </c>
      <c r="Y1" s="140" t="s">
        <v>1</v>
      </c>
      <c r="Z1" s="134" t="s">
        <v>416</v>
      </c>
      <c r="AA1" s="140" t="s">
        <v>1</v>
      </c>
      <c r="AB1" s="140" t="s">
        <v>1</v>
      </c>
      <c r="AC1" s="140" t="s">
        <v>266</v>
      </c>
      <c r="AD1" s="140" t="s">
        <v>1</v>
      </c>
      <c r="AE1" s="140" t="s">
        <v>1</v>
      </c>
      <c r="AF1" s="140" t="s">
        <v>1</v>
      </c>
    </row>
    <row r="2" spans="1:34" ht="15.75" x14ac:dyDescent="0.25">
      <c r="A2" s="139" t="s">
        <v>2</v>
      </c>
      <c r="B2" s="144" t="s">
        <v>17</v>
      </c>
      <c r="C2" s="144" t="s">
        <v>216</v>
      </c>
      <c r="D2" s="144" t="s">
        <v>333</v>
      </c>
      <c r="E2" s="141">
        <v>41586</v>
      </c>
      <c r="F2" s="141">
        <f>E2+7</f>
        <v>41593</v>
      </c>
      <c r="G2" s="141">
        <f>F2+7</f>
        <v>41600</v>
      </c>
      <c r="H2" s="141">
        <f>G2+7</f>
        <v>41607</v>
      </c>
      <c r="I2" s="141">
        <f>H2+3</f>
        <v>41610</v>
      </c>
      <c r="J2" s="141">
        <f>I2+11</f>
        <v>41621</v>
      </c>
      <c r="K2" s="141">
        <f>J2+7</f>
        <v>41628</v>
      </c>
      <c r="L2" s="141">
        <f>K2+21</f>
        <v>41649</v>
      </c>
      <c r="M2" s="141">
        <f>L2+7</f>
        <v>41656</v>
      </c>
      <c r="N2" s="141">
        <f>M2+7</f>
        <v>41663</v>
      </c>
      <c r="O2" s="141">
        <f>N2+7</f>
        <v>41670</v>
      </c>
      <c r="P2" s="141">
        <f>O2+7</f>
        <v>41677</v>
      </c>
      <c r="Q2" s="141">
        <f>P2+7</f>
        <v>41684</v>
      </c>
      <c r="R2" s="141">
        <f>Q2+10</f>
        <v>41694</v>
      </c>
      <c r="S2" s="141">
        <f>R2+4</f>
        <v>41698</v>
      </c>
      <c r="T2" s="141">
        <f t="shared" ref="T2:Y2" si="0">S2+7</f>
        <v>41705</v>
      </c>
      <c r="U2" s="141">
        <f t="shared" si="0"/>
        <v>41712</v>
      </c>
      <c r="V2" s="141">
        <f t="shared" si="0"/>
        <v>41719</v>
      </c>
      <c r="W2" s="141">
        <f t="shared" si="0"/>
        <v>41726</v>
      </c>
      <c r="X2" s="141">
        <f t="shared" si="0"/>
        <v>41733</v>
      </c>
      <c r="Y2" s="141">
        <f t="shared" si="0"/>
        <v>41740</v>
      </c>
      <c r="Z2" s="135">
        <f>Y2+10</f>
        <v>41750</v>
      </c>
      <c r="AA2" s="141">
        <f>Z2+4</f>
        <v>41754</v>
      </c>
      <c r="AB2" s="141">
        <f>AA2+7</f>
        <v>41761</v>
      </c>
      <c r="AC2" s="141">
        <f>AB2+11</f>
        <v>41772</v>
      </c>
      <c r="AD2" s="141">
        <f>AC2+3</f>
        <v>41775</v>
      </c>
      <c r="AE2" s="141">
        <f>AD2+14</f>
        <v>41789</v>
      </c>
      <c r="AF2" s="141">
        <f>AE2+7</f>
        <v>41796</v>
      </c>
      <c r="AG2" s="172" t="s">
        <v>417</v>
      </c>
    </row>
    <row r="3" spans="1:34" x14ac:dyDescent="0.25">
      <c r="A3" s="12" t="s">
        <v>15</v>
      </c>
      <c r="B3" s="38">
        <v>40664</v>
      </c>
      <c r="C3" s="38">
        <v>41061</v>
      </c>
      <c r="D3" s="161">
        <v>41426</v>
      </c>
      <c r="E3" s="12"/>
      <c r="F3" s="12"/>
      <c r="G3" s="12"/>
      <c r="H3" s="12"/>
      <c r="I3" s="12"/>
      <c r="J3" s="12"/>
      <c r="K3" s="12"/>
      <c r="L3" s="12"/>
      <c r="M3" s="12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t="s">
        <v>439</v>
      </c>
    </row>
    <row r="4" spans="1:34" x14ac:dyDescent="0.25">
      <c r="A4" s="3" t="s">
        <v>16</v>
      </c>
      <c r="B4" s="40">
        <v>549</v>
      </c>
      <c r="C4" s="40">
        <v>496</v>
      </c>
      <c r="D4" s="162">
        <v>439</v>
      </c>
      <c r="E4" s="14">
        <v>47</v>
      </c>
      <c r="F4" s="14">
        <v>70</v>
      </c>
      <c r="G4" s="40">
        <v>180</v>
      </c>
      <c r="H4" s="14">
        <v>289</v>
      </c>
      <c r="I4" s="14">
        <v>307</v>
      </c>
      <c r="J4" s="14">
        <v>314</v>
      </c>
      <c r="K4" s="14">
        <v>314</v>
      </c>
      <c r="L4" s="14">
        <v>314</v>
      </c>
      <c r="M4" s="14">
        <v>314</v>
      </c>
      <c r="N4">
        <v>314</v>
      </c>
      <c r="O4">
        <v>314</v>
      </c>
      <c r="P4">
        <v>314</v>
      </c>
      <c r="Q4">
        <v>342</v>
      </c>
      <c r="R4">
        <v>352</v>
      </c>
      <c r="S4">
        <v>368</v>
      </c>
      <c r="T4">
        <v>423</v>
      </c>
      <c r="U4">
        <v>443</v>
      </c>
      <c r="V4">
        <v>444</v>
      </c>
      <c r="W4">
        <v>444</v>
      </c>
      <c r="X4">
        <v>444</v>
      </c>
      <c r="Y4">
        <v>444</v>
      </c>
      <c r="Z4">
        <v>444</v>
      </c>
      <c r="AA4">
        <v>444</v>
      </c>
      <c r="AB4">
        <v>444</v>
      </c>
      <c r="AC4">
        <v>444</v>
      </c>
      <c r="AD4">
        <v>444</v>
      </c>
      <c r="AE4">
        <v>444</v>
      </c>
      <c r="AF4">
        <v>444</v>
      </c>
      <c r="AG4" s="83">
        <f>AF4-AE4</f>
        <v>0</v>
      </c>
      <c r="AH4" t="s">
        <v>382</v>
      </c>
    </row>
    <row r="5" spans="1:34" x14ac:dyDescent="0.25">
      <c r="A5" s="3" t="s">
        <v>25</v>
      </c>
      <c r="B5" s="40">
        <v>358</v>
      </c>
      <c r="C5" s="40">
        <v>359</v>
      </c>
      <c r="D5" s="162">
        <v>373</v>
      </c>
      <c r="E5" s="14"/>
      <c r="F5" s="14"/>
      <c r="G5" s="14"/>
      <c r="H5" s="14"/>
      <c r="I5" s="14"/>
      <c r="J5" s="14"/>
      <c r="K5" s="14"/>
      <c r="L5" s="14"/>
      <c r="M5" s="14"/>
      <c r="Q5" t="s">
        <v>381</v>
      </c>
      <c r="R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</row>
    <row r="6" spans="1:34" x14ac:dyDescent="0.25">
      <c r="A6" s="1" t="s">
        <v>3</v>
      </c>
      <c r="B6" s="39">
        <v>801</v>
      </c>
      <c r="C6" s="39"/>
      <c r="D6" s="163"/>
      <c r="E6" s="2"/>
      <c r="F6" s="2"/>
      <c r="G6" s="2"/>
      <c r="H6" s="2"/>
      <c r="I6" s="2"/>
      <c r="J6" s="2"/>
      <c r="K6" s="2"/>
      <c r="L6" s="2"/>
      <c r="M6" s="2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9" t="s">
        <v>372</v>
      </c>
      <c r="AH6" t="s">
        <v>378</v>
      </c>
    </row>
    <row r="7" spans="1:34" x14ac:dyDescent="0.25">
      <c r="A7" s="3" t="s">
        <v>4</v>
      </c>
      <c r="B7" s="40">
        <v>937</v>
      </c>
      <c r="C7" s="40">
        <v>989</v>
      </c>
      <c r="D7" s="162">
        <v>827</v>
      </c>
      <c r="E7" s="4">
        <v>23</v>
      </c>
      <c r="F7" s="4">
        <v>22</v>
      </c>
      <c r="G7" s="4">
        <v>23</v>
      </c>
      <c r="H7" s="4">
        <v>24</v>
      </c>
      <c r="I7" s="4">
        <v>24</v>
      </c>
      <c r="J7" s="4">
        <v>26</v>
      </c>
      <c r="K7" s="4">
        <v>28</v>
      </c>
      <c r="L7" s="4">
        <v>39</v>
      </c>
      <c r="M7" s="4">
        <v>40</v>
      </c>
      <c r="N7" s="7">
        <v>44</v>
      </c>
      <c r="O7" s="7">
        <v>51</v>
      </c>
      <c r="P7" s="7">
        <v>58</v>
      </c>
      <c r="Q7" s="7">
        <v>63</v>
      </c>
      <c r="R7" s="7">
        <v>77</v>
      </c>
      <c r="S7" s="7">
        <v>84</v>
      </c>
      <c r="T7" s="7">
        <v>109</v>
      </c>
      <c r="U7" s="7">
        <v>130</v>
      </c>
      <c r="V7" s="7">
        <v>185</v>
      </c>
      <c r="W7" s="7">
        <v>239</v>
      </c>
      <c r="X7" s="7">
        <v>334</v>
      </c>
      <c r="Y7" s="7">
        <v>421</v>
      </c>
      <c r="Z7" s="7">
        <v>610</v>
      </c>
      <c r="AA7" s="7">
        <v>630</v>
      </c>
      <c r="AB7" s="7">
        <v>685</v>
      </c>
      <c r="AC7" s="7">
        <v>723</v>
      </c>
      <c r="AD7" s="7">
        <v>737</v>
      </c>
      <c r="AE7" s="7">
        <f>586+122+65+41</f>
        <v>814</v>
      </c>
      <c r="AF7" s="7">
        <f>633+121+65+42</f>
        <v>861</v>
      </c>
      <c r="AG7" s="83">
        <f>AF7-AE7</f>
        <v>47</v>
      </c>
      <c r="AH7" s="160">
        <f>(AF19/AF7)*1.2</f>
        <v>254.96480836236935</v>
      </c>
    </row>
    <row r="8" spans="1:34" x14ac:dyDescent="0.25">
      <c r="A8" s="3" t="s">
        <v>142</v>
      </c>
      <c r="B8" s="40"/>
      <c r="C8" s="40">
        <v>105</v>
      </c>
      <c r="D8" s="162">
        <v>176</v>
      </c>
      <c r="E8" s="4"/>
      <c r="F8" s="4"/>
      <c r="G8" s="4"/>
      <c r="H8" s="4"/>
      <c r="I8" s="4"/>
      <c r="J8" s="4"/>
      <c r="K8" s="4"/>
      <c r="L8" s="4"/>
      <c r="M8" s="4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4" x14ac:dyDescent="0.25">
      <c r="A9" s="3" t="s">
        <v>161</v>
      </c>
      <c r="B9" s="40">
        <v>938</v>
      </c>
      <c r="C9" s="40">
        <v>861</v>
      </c>
      <c r="D9" s="162">
        <v>814</v>
      </c>
      <c r="E9" s="4"/>
      <c r="F9" s="4">
        <v>6</v>
      </c>
      <c r="G9" s="4">
        <v>7</v>
      </c>
      <c r="H9" s="4">
        <v>8</v>
      </c>
      <c r="I9" s="4">
        <v>8</v>
      </c>
      <c r="J9" s="4">
        <v>11</v>
      </c>
      <c r="K9" s="4">
        <v>11</v>
      </c>
      <c r="L9" s="4">
        <v>11</v>
      </c>
      <c r="M9" s="4">
        <v>11</v>
      </c>
      <c r="N9" s="7">
        <v>14</v>
      </c>
      <c r="O9" s="7">
        <v>18</v>
      </c>
      <c r="P9" s="7">
        <v>20</v>
      </c>
      <c r="Q9" s="7">
        <v>20</v>
      </c>
      <c r="R9" s="7">
        <v>24</v>
      </c>
      <c r="S9" s="7">
        <v>29</v>
      </c>
      <c r="T9" s="7">
        <v>34</v>
      </c>
      <c r="U9" s="7">
        <v>37</v>
      </c>
      <c r="V9" s="7">
        <v>42</v>
      </c>
      <c r="W9" s="7">
        <v>48</v>
      </c>
      <c r="X9" s="7">
        <v>51</v>
      </c>
      <c r="Y9" s="7">
        <v>55</v>
      </c>
      <c r="Z9" s="7">
        <v>81</v>
      </c>
      <c r="AA9" s="7">
        <v>89</v>
      </c>
      <c r="AB9" s="7">
        <v>109</v>
      </c>
      <c r="AC9" s="7">
        <v>145</v>
      </c>
      <c r="AD9" s="7">
        <v>189</v>
      </c>
      <c r="AE9" s="7">
        <v>360</v>
      </c>
      <c r="AF9" s="7">
        <v>531</v>
      </c>
      <c r="AG9" s="83">
        <f>AF9-AE9</f>
        <v>171</v>
      </c>
    </row>
    <row r="10" spans="1:34" x14ac:dyDescent="0.25">
      <c r="A10" s="3" t="s">
        <v>5</v>
      </c>
      <c r="B10" s="40"/>
      <c r="C10" s="40">
        <v>284</v>
      </c>
      <c r="D10" s="162">
        <v>226</v>
      </c>
      <c r="E10" s="4"/>
      <c r="F10" s="4"/>
      <c r="G10" s="4"/>
      <c r="H10" s="4"/>
      <c r="I10" s="4"/>
      <c r="J10" s="4"/>
      <c r="K10" s="4"/>
      <c r="L10" s="4"/>
      <c r="M10" s="4">
        <v>108</v>
      </c>
      <c r="N10" s="7">
        <v>148</v>
      </c>
      <c r="O10" s="7">
        <v>156</v>
      </c>
      <c r="P10" s="7">
        <v>179</v>
      </c>
      <c r="Q10" s="7">
        <v>179</v>
      </c>
      <c r="R10" s="7">
        <v>180</v>
      </c>
      <c r="S10" s="7">
        <v>180</v>
      </c>
      <c r="T10" s="7">
        <v>180</v>
      </c>
      <c r="U10" s="7">
        <v>181</v>
      </c>
      <c r="V10" s="7">
        <v>181</v>
      </c>
      <c r="W10" s="7">
        <v>182</v>
      </c>
      <c r="X10" s="7">
        <f>185-11</f>
        <v>174</v>
      </c>
      <c r="Y10" s="7">
        <v>173</v>
      </c>
      <c r="Z10" s="7">
        <v>174</v>
      </c>
      <c r="AA10" s="7">
        <v>174</v>
      </c>
      <c r="AB10" s="7">
        <v>178</v>
      </c>
      <c r="AC10" s="7">
        <v>178</v>
      </c>
      <c r="AD10" s="7">
        <v>180</v>
      </c>
      <c r="AE10" s="7">
        <f>197-23</f>
        <v>174</v>
      </c>
      <c r="AF10" s="7">
        <f>192-23</f>
        <v>169</v>
      </c>
      <c r="AG10" s="7"/>
    </row>
    <row r="11" spans="1:34" x14ac:dyDescent="0.25">
      <c r="A11" s="3" t="s">
        <v>307</v>
      </c>
      <c r="B11" s="40"/>
      <c r="C11" s="40"/>
      <c r="D11" s="162">
        <v>35</v>
      </c>
      <c r="E11" s="4"/>
      <c r="F11" s="4"/>
      <c r="G11" s="4"/>
      <c r="H11" s="4"/>
      <c r="I11" s="4"/>
      <c r="J11" s="4"/>
      <c r="K11" s="4"/>
      <c r="L11" s="4"/>
      <c r="M11" s="4"/>
      <c r="N11" s="7"/>
      <c r="O11" s="7"/>
      <c r="P11" s="7"/>
      <c r="Q11" s="7"/>
      <c r="R11" s="7"/>
      <c r="S11" s="7"/>
      <c r="T11" s="7"/>
      <c r="U11" s="7"/>
      <c r="V11" s="7"/>
      <c r="W11" s="7"/>
      <c r="X11" s="7">
        <v>11</v>
      </c>
      <c r="Y11" s="7">
        <v>11</v>
      </c>
      <c r="Z11" s="7">
        <v>11</v>
      </c>
      <c r="AA11" s="7">
        <v>23</v>
      </c>
      <c r="AB11" s="7">
        <v>23</v>
      </c>
      <c r="AC11" s="7">
        <v>23</v>
      </c>
      <c r="AD11" s="7">
        <v>23</v>
      </c>
      <c r="AE11" s="7">
        <v>23</v>
      </c>
      <c r="AF11" s="7">
        <v>23</v>
      </c>
    </row>
    <row r="12" spans="1:34" x14ac:dyDescent="0.25">
      <c r="A12" s="3" t="s">
        <v>479</v>
      </c>
      <c r="B12" s="40"/>
      <c r="C12" s="40"/>
      <c r="D12" s="162">
        <v>27</v>
      </c>
      <c r="E12" s="4"/>
      <c r="F12" s="4">
        <v>3</v>
      </c>
      <c r="G12" s="4">
        <v>3</v>
      </c>
      <c r="H12" s="4">
        <v>3</v>
      </c>
      <c r="I12" s="4">
        <v>3</v>
      </c>
      <c r="J12" s="4">
        <v>3</v>
      </c>
      <c r="K12" s="4">
        <v>3</v>
      </c>
      <c r="L12" s="4">
        <v>3</v>
      </c>
      <c r="M12" s="4">
        <v>22</v>
      </c>
      <c r="N12" s="7">
        <v>25</v>
      </c>
      <c r="O12" s="7">
        <v>27</v>
      </c>
      <c r="P12" s="7">
        <v>29</v>
      </c>
      <c r="Q12" s="7">
        <v>29</v>
      </c>
      <c r="R12" s="7">
        <v>29</v>
      </c>
      <c r="S12" s="7">
        <v>29</v>
      </c>
      <c r="T12" s="7">
        <v>29</v>
      </c>
      <c r="U12" s="7">
        <v>29</v>
      </c>
      <c r="V12" s="7">
        <v>29</v>
      </c>
      <c r="W12" s="7">
        <v>29</v>
      </c>
      <c r="X12" s="7">
        <v>29</v>
      </c>
      <c r="Y12" s="7">
        <v>15</v>
      </c>
      <c r="Z12" s="7">
        <v>15</v>
      </c>
      <c r="AA12" s="7">
        <v>15</v>
      </c>
      <c r="AB12" s="7">
        <v>15</v>
      </c>
      <c r="AC12" s="7">
        <v>15</v>
      </c>
      <c r="AD12" s="7">
        <v>15</v>
      </c>
      <c r="AE12" s="7">
        <v>40</v>
      </c>
      <c r="AF12" s="7">
        <f>38+18</f>
        <v>56</v>
      </c>
    </row>
    <row r="13" spans="1:34" x14ac:dyDescent="0.25">
      <c r="A13" s="3" t="s">
        <v>321</v>
      </c>
      <c r="B13" s="40"/>
      <c r="C13" s="40">
        <f>13+6</f>
        <v>19</v>
      </c>
      <c r="D13" s="162">
        <v>39</v>
      </c>
      <c r="E13" s="4"/>
      <c r="F13" s="4"/>
      <c r="G13" s="4"/>
      <c r="H13" s="4"/>
      <c r="I13" s="4"/>
      <c r="J13" s="4"/>
      <c r="K13" s="4"/>
      <c r="L13" s="4"/>
      <c r="M13" s="4">
        <v>3</v>
      </c>
      <c r="N13" s="7">
        <v>3</v>
      </c>
      <c r="O13" s="7">
        <v>3</v>
      </c>
      <c r="P13" s="7">
        <v>3</v>
      </c>
      <c r="Q13" s="7">
        <v>3</v>
      </c>
      <c r="R13" s="7">
        <v>3</v>
      </c>
      <c r="S13" s="7">
        <v>3</v>
      </c>
      <c r="T13" s="7">
        <v>3</v>
      </c>
      <c r="U13" s="7">
        <v>3</v>
      </c>
      <c r="V13" s="7">
        <v>3</v>
      </c>
      <c r="W13" s="7">
        <v>3</v>
      </c>
      <c r="X13" s="7">
        <v>4</v>
      </c>
      <c r="Y13" s="7">
        <v>4</v>
      </c>
      <c r="Z13" s="7">
        <v>4</v>
      </c>
      <c r="AA13" s="7">
        <v>2</v>
      </c>
      <c r="AB13" s="7">
        <v>2</v>
      </c>
      <c r="AC13" s="7">
        <v>8</v>
      </c>
      <c r="AD13" s="7">
        <v>8</v>
      </c>
      <c r="AE13" s="7">
        <v>15</v>
      </c>
      <c r="AF13" s="7">
        <f>7+3+30</f>
        <v>40</v>
      </c>
    </row>
    <row r="14" spans="1:34" x14ac:dyDescent="0.25">
      <c r="A14" s="3" t="s">
        <v>162</v>
      </c>
      <c r="B14" s="40"/>
      <c r="C14" s="40">
        <v>693</v>
      </c>
      <c r="D14" s="162">
        <v>885</v>
      </c>
      <c r="E14" s="4"/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15</v>
      </c>
      <c r="M14" s="4">
        <v>15</v>
      </c>
      <c r="N14" s="7">
        <v>15</v>
      </c>
      <c r="O14" s="7">
        <v>15</v>
      </c>
      <c r="P14" s="7">
        <v>17</v>
      </c>
      <c r="Q14" s="7">
        <v>17</v>
      </c>
      <c r="R14" s="7">
        <v>23</v>
      </c>
      <c r="S14" s="7">
        <v>23</v>
      </c>
      <c r="T14" s="7">
        <v>23</v>
      </c>
      <c r="U14" s="7">
        <v>23</v>
      </c>
      <c r="V14" s="7">
        <v>25</v>
      </c>
      <c r="W14" s="7">
        <v>29</v>
      </c>
      <c r="X14" s="7">
        <v>35</v>
      </c>
      <c r="Y14" s="7">
        <v>48</v>
      </c>
      <c r="Z14" s="7">
        <v>79</v>
      </c>
      <c r="AA14" s="7">
        <v>133</v>
      </c>
      <c r="AB14" s="7">
        <v>146</v>
      </c>
      <c r="AC14" s="7">
        <v>279</v>
      </c>
      <c r="AD14" s="7">
        <v>322</v>
      </c>
      <c r="AE14" s="7">
        <v>688</v>
      </c>
      <c r="AF14" s="7">
        <v>821</v>
      </c>
    </row>
    <row r="15" spans="1:34" x14ac:dyDescent="0.25">
      <c r="A15" s="3" t="s">
        <v>313</v>
      </c>
      <c r="B15" s="40"/>
      <c r="C15" s="40"/>
      <c r="D15" s="162">
        <v>156</v>
      </c>
      <c r="E15" s="4"/>
      <c r="F15" s="4"/>
      <c r="G15" s="4"/>
      <c r="H15" s="4"/>
      <c r="I15" s="4"/>
      <c r="J15" s="4"/>
      <c r="K15" s="4"/>
      <c r="L15" s="4"/>
      <c r="M15" s="4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>
        <f>40+30+14+14</f>
        <v>98</v>
      </c>
      <c r="AD15" s="7">
        <f>40+30+14+14</f>
        <v>98</v>
      </c>
      <c r="AE15" s="7">
        <v>98</v>
      </c>
      <c r="AF15" s="7">
        <v>98</v>
      </c>
      <c r="AG15" s="83">
        <f>AF15-AE15</f>
        <v>0</v>
      </c>
    </row>
    <row r="16" spans="1:34" x14ac:dyDescent="0.25">
      <c r="A16" s="1" t="s">
        <v>217</v>
      </c>
      <c r="B16" s="41">
        <f>SUM(B7:B13)</f>
        <v>1875</v>
      </c>
      <c r="C16" s="41">
        <f>SUM(C7:C15)</f>
        <v>2951</v>
      </c>
      <c r="D16" s="164">
        <f>SUM(D7:D15)</f>
        <v>3185</v>
      </c>
      <c r="E16" s="5">
        <f>SUM(E7:E13)</f>
        <v>23</v>
      </c>
      <c r="F16" s="5">
        <f>SUM(F7:F13)</f>
        <v>31</v>
      </c>
      <c r="G16" s="5"/>
      <c r="H16" s="5"/>
      <c r="I16" s="5"/>
      <c r="J16" s="41">
        <f t="shared" ref="J16:P16" si="1">SUM(J7:J15)</f>
        <v>41</v>
      </c>
      <c r="K16" s="41">
        <f t="shared" si="1"/>
        <v>43</v>
      </c>
      <c r="L16" s="41">
        <f t="shared" si="1"/>
        <v>68</v>
      </c>
      <c r="M16" s="41">
        <f t="shared" si="1"/>
        <v>199</v>
      </c>
      <c r="N16" s="170">
        <f t="shared" si="1"/>
        <v>249</v>
      </c>
      <c r="O16" s="41">
        <f t="shared" si="1"/>
        <v>270</v>
      </c>
      <c r="P16" s="41">
        <f t="shared" si="1"/>
        <v>306</v>
      </c>
      <c r="Q16" s="41">
        <f t="shared" ref="Q16:Y16" si="2">SUM(Q7:Q15)</f>
        <v>311</v>
      </c>
      <c r="R16" s="41">
        <f t="shared" si="2"/>
        <v>336</v>
      </c>
      <c r="S16" s="41">
        <f t="shared" si="2"/>
        <v>348</v>
      </c>
      <c r="T16" s="41">
        <f t="shared" si="2"/>
        <v>378</v>
      </c>
      <c r="U16" s="41">
        <f t="shared" si="2"/>
        <v>403</v>
      </c>
      <c r="V16" s="41">
        <f t="shared" si="2"/>
        <v>465</v>
      </c>
      <c r="W16" s="41">
        <f t="shared" si="2"/>
        <v>530</v>
      </c>
      <c r="X16" s="41">
        <f t="shared" si="2"/>
        <v>638</v>
      </c>
      <c r="Y16" s="41">
        <f t="shared" si="2"/>
        <v>727</v>
      </c>
      <c r="Z16" s="41">
        <f t="shared" ref="Z16:AA16" si="3">SUM(Z7:Z15)</f>
        <v>974</v>
      </c>
      <c r="AA16" s="41">
        <f t="shared" si="3"/>
        <v>1066</v>
      </c>
      <c r="AB16" s="41">
        <f t="shared" ref="AB16:AC16" si="4">SUM(AB7:AB15)</f>
        <v>1158</v>
      </c>
      <c r="AC16" s="41">
        <f t="shared" si="4"/>
        <v>1469</v>
      </c>
      <c r="AD16" s="41">
        <f t="shared" ref="AD16:AE16" si="5">SUM(AD7:AD15)</f>
        <v>1572</v>
      </c>
      <c r="AE16" s="41">
        <f t="shared" si="5"/>
        <v>2212</v>
      </c>
      <c r="AF16" s="41">
        <f t="shared" ref="AF16" si="6">SUM(AF7:AF15)</f>
        <v>2599</v>
      </c>
    </row>
    <row r="17" spans="1:34" x14ac:dyDescent="0.25">
      <c r="A17" s="6"/>
      <c r="B17" s="40"/>
      <c r="C17" s="97"/>
      <c r="D17" s="97"/>
      <c r="E17" s="4"/>
      <c r="F17" s="4"/>
      <c r="G17" s="4"/>
      <c r="H17" s="4"/>
      <c r="I17" s="4"/>
      <c r="J17" s="4"/>
      <c r="K17" s="4"/>
      <c r="L17" s="4"/>
      <c r="M17" s="4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4" x14ac:dyDescent="0.25">
      <c r="A18" s="1" t="s">
        <v>8</v>
      </c>
      <c r="B18" s="2"/>
      <c r="C18" s="2"/>
      <c r="D18" s="165"/>
      <c r="E18" s="2"/>
      <c r="F18" s="2"/>
      <c r="G18" s="2"/>
      <c r="H18" s="2"/>
      <c r="I18" s="2"/>
      <c r="J18" s="2"/>
      <c r="K18" s="2"/>
      <c r="L18" s="2"/>
      <c r="M18" s="2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t="s">
        <v>372</v>
      </c>
    </row>
    <row r="19" spans="1:34" x14ac:dyDescent="0.25">
      <c r="A19" s="54" t="s">
        <v>9</v>
      </c>
      <c r="B19" s="42" t="s">
        <v>218</v>
      </c>
      <c r="C19" s="53">
        <f>167086</f>
        <v>167086</v>
      </c>
      <c r="D19" s="166"/>
      <c r="E19" s="53">
        <f>5740/1.2</f>
        <v>4783.3333333333339</v>
      </c>
      <c r="F19" s="53">
        <f>6260/1.2</f>
        <v>5216.666666666667</v>
      </c>
      <c r="G19" s="53"/>
      <c r="H19" s="53">
        <f>6652/1.2</f>
        <v>5543.3333333333339</v>
      </c>
      <c r="I19" s="53">
        <f>6652/1.2</f>
        <v>5543.3333333333339</v>
      </c>
      <c r="J19" s="53">
        <f>7752/1.2</f>
        <v>6460</v>
      </c>
      <c r="K19" s="53">
        <f>8592/1.2</f>
        <v>7160</v>
      </c>
      <c r="L19" s="53">
        <f>11950/1.2</f>
        <v>9958.3333333333339</v>
      </c>
      <c r="M19" s="53">
        <f>12045/1.2</f>
        <v>10037.5</v>
      </c>
      <c r="N19" s="157">
        <f>13610/1.2</f>
        <v>11341.666666666668</v>
      </c>
      <c r="O19" s="157">
        <f>15685/1.2</f>
        <v>13070.833333333334</v>
      </c>
      <c r="P19" s="157">
        <f>17105/1.2</f>
        <v>14254.166666666668</v>
      </c>
      <c r="Q19" s="157">
        <f>18120/1.2</f>
        <v>15100</v>
      </c>
      <c r="R19" s="157">
        <f>22987/1.2</f>
        <v>19155.833333333336</v>
      </c>
      <c r="S19" s="157">
        <f>25286/1.2</f>
        <v>21071.666666666668</v>
      </c>
      <c r="T19" s="157">
        <f>33887/1.2</f>
        <v>28239.166666666668</v>
      </c>
      <c r="U19" s="157">
        <f>40526/1.2</f>
        <v>33771.666666666672</v>
      </c>
      <c r="V19" s="157">
        <f>54133/1.2</f>
        <v>45110.833333333336</v>
      </c>
      <c r="W19" s="157">
        <f>69337/1.2</f>
        <v>57780.833333333336</v>
      </c>
      <c r="X19" s="157">
        <f>92702/1.2</f>
        <v>77251.666666666672</v>
      </c>
      <c r="Y19" s="157">
        <f>114237/1.2</f>
        <v>95197.5</v>
      </c>
      <c r="Z19" s="157">
        <f>160011/1.2</f>
        <v>133342.5</v>
      </c>
      <c r="AA19" s="157">
        <f>166760/1.2</f>
        <v>138966.66666666669</v>
      </c>
      <c r="AB19" s="157">
        <f>178533.7/1.2</f>
        <v>148778.08333333334</v>
      </c>
      <c r="AC19" s="157">
        <f>188012.7/1.2</f>
        <v>156677.25000000003</v>
      </c>
      <c r="AD19" s="157">
        <f>190927.7/1.2</f>
        <v>159106.41666666669</v>
      </c>
      <c r="AE19" s="157">
        <f>209221.7/1.2</f>
        <v>174351.41666666669</v>
      </c>
      <c r="AF19" s="157">
        <f>(221924.7-2400)/1.2</f>
        <v>182937.25000000003</v>
      </c>
      <c r="AG19" s="44">
        <f>(AF17+AF18+AF19)-(AE17+AE18+AE19)</f>
        <v>8585.833333333343</v>
      </c>
      <c r="AH19" t="s">
        <v>478</v>
      </c>
    </row>
    <row r="20" spans="1:34" x14ac:dyDescent="0.25">
      <c r="A20" s="8" t="s">
        <v>268</v>
      </c>
      <c r="B20" s="42"/>
      <c r="C20" s="42">
        <v>10980</v>
      </c>
      <c r="D20" s="167"/>
      <c r="E20" s="9">
        <v>6240</v>
      </c>
      <c r="F20" s="9">
        <v>6240</v>
      </c>
      <c r="G20" s="9"/>
      <c r="H20" s="9">
        <f>6240</f>
        <v>6240</v>
      </c>
      <c r="I20" s="9">
        <f>6240</f>
        <v>6240</v>
      </c>
      <c r="J20" s="9">
        <v>6240</v>
      </c>
      <c r="K20" s="9">
        <v>6240</v>
      </c>
      <c r="L20" s="9">
        <v>7830</v>
      </c>
      <c r="M20" s="9">
        <v>7830</v>
      </c>
      <c r="N20" s="131">
        <v>7830</v>
      </c>
      <c r="O20" s="131">
        <f>1590+6240</f>
        <v>7830</v>
      </c>
      <c r="P20" s="131">
        <f>1590+6240</f>
        <v>7830</v>
      </c>
      <c r="Q20" s="131">
        <f t="shared" ref="Q20:Z20" si="7">1590+8740</f>
        <v>10330</v>
      </c>
      <c r="R20" s="131">
        <f t="shared" si="7"/>
        <v>10330</v>
      </c>
      <c r="S20" s="131">
        <f t="shared" si="7"/>
        <v>10330</v>
      </c>
      <c r="T20" s="131">
        <f t="shared" si="7"/>
        <v>10330</v>
      </c>
      <c r="U20" s="131">
        <f t="shared" si="7"/>
        <v>10330</v>
      </c>
      <c r="V20" s="131">
        <f t="shared" si="7"/>
        <v>10330</v>
      </c>
      <c r="W20" s="131">
        <f t="shared" si="7"/>
        <v>10330</v>
      </c>
      <c r="X20" s="131">
        <f t="shared" si="7"/>
        <v>10330</v>
      </c>
      <c r="Y20" s="131">
        <f t="shared" si="7"/>
        <v>10330</v>
      </c>
      <c r="Z20" s="131">
        <f t="shared" si="7"/>
        <v>10330</v>
      </c>
      <c r="AA20" s="131">
        <f>795+8740</f>
        <v>9535</v>
      </c>
      <c r="AB20" s="131">
        <f>795+8740</f>
        <v>9535</v>
      </c>
      <c r="AC20" s="131">
        <f>1590+8740</f>
        <v>10330</v>
      </c>
      <c r="AD20" s="131">
        <f>1590+8740</f>
        <v>10330</v>
      </c>
      <c r="AE20" s="131">
        <f>1590+8740</f>
        <v>10330</v>
      </c>
      <c r="AF20" s="131">
        <f>1590+8740</f>
        <v>10330</v>
      </c>
      <c r="AH20" s="44">
        <f>AF20+AF21+AF22</f>
        <v>515880</v>
      </c>
    </row>
    <row r="21" spans="1:34" x14ac:dyDescent="0.25">
      <c r="A21" s="8" t="s">
        <v>11</v>
      </c>
      <c r="B21" s="42">
        <v>478526</v>
      </c>
      <c r="C21" s="42">
        <v>490077</v>
      </c>
      <c r="D21" s="167"/>
      <c r="E21" s="9">
        <v>259670</v>
      </c>
      <c r="F21" s="9">
        <v>269270</v>
      </c>
      <c r="G21" s="9"/>
      <c r="H21" s="9">
        <v>286030</v>
      </c>
      <c r="I21" s="9">
        <v>286030</v>
      </c>
      <c r="J21" s="9">
        <v>296770</v>
      </c>
      <c r="K21" s="9">
        <v>332530</v>
      </c>
      <c r="L21" s="9">
        <v>345990</v>
      </c>
      <c r="M21" s="9">
        <v>364410</v>
      </c>
      <c r="N21" s="131">
        <v>364410</v>
      </c>
      <c r="O21" s="131">
        <v>365090</v>
      </c>
      <c r="P21" s="131">
        <v>377740</v>
      </c>
      <c r="Q21" s="131">
        <v>387980</v>
      </c>
      <c r="R21" s="131">
        <v>387980</v>
      </c>
      <c r="S21" s="131">
        <v>390700</v>
      </c>
      <c r="T21" s="131">
        <v>414740</v>
      </c>
      <c r="U21" s="131">
        <v>418820</v>
      </c>
      <c r="V21" s="131">
        <v>426640</v>
      </c>
      <c r="W21" s="131">
        <v>426640</v>
      </c>
      <c r="X21" s="131">
        <v>434440</v>
      </c>
      <c r="Y21" s="131">
        <v>460900</v>
      </c>
      <c r="Z21" s="131">
        <v>468640</v>
      </c>
      <c r="AA21" s="131">
        <v>480880</v>
      </c>
      <c r="AB21" s="131">
        <v>480880</v>
      </c>
      <c r="AC21" s="131">
        <v>486000</v>
      </c>
      <c r="AD21" s="131">
        <v>481820</v>
      </c>
      <c r="AE21" s="131">
        <v>496920</v>
      </c>
      <c r="AF21" s="131">
        <v>496920</v>
      </c>
      <c r="AH21" s="131"/>
    </row>
    <row r="22" spans="1:34" x14ac:dyDescent="0.25">
      <c r="A22" s="8" t="s">
        <v>12</v>
      </c>
      <c r="B22" s="42">
        <v>0</v>
      </c>
      <c r="C22" s="42">
        <v>18790</v>
      </c>
      <c r="D22" s="167"/>
      <c r="E22" s="9">
        <v>1390</v>
      </c>
      <c r="F22" s="9">
        <v>1390</v>
      </c>
      <c r="G22" s="9"/>
      <c r="H22" s="9">
        <v>1390</v>
      </c>
      <c r="I22" s="9">
        <v>1390</v>
      </c>
      <c r="J22" s="9">
        <v>1390</v>
      </c>
      <c r="K22" s="9">
        <v>1390</v>
      </c>
      <c r="L22" s="9">
        <v>1685</v>
      </c>
      <c r="M22" s="9">
        <v>2580</v>
      </c>
      <c r="N22" s="131">
        <v>3275</v>
      </c>
      <c r="O22" s="131">
        <f>2085+1190</f>
        <v>3275</v>
      </c>
      <c r="P22" s="131">
        <f>2085+1190</f>
        <v>3275</v>
      </c>
      <c r="Q22" s="131">
        <f>2085+1190</f>
        <v>3275</v>
      </c>
      <c r="R22" s="131">
        <f>2085+1190</f>
        <v>3275</v>
      </c>
      <c r="S22" s="131">
        <f>2085+1190</f>
        <v>3275</v>
      </c>
      <c r="T22" s="131">
        <f t="shared" ref="T22:Z22" si="8">2780+1190</f>
        <v>3970</v>
      </c>
      <c r="U22" s="131">
        <f t="shared" si="8"/>
        <v>3970</v>
      </c>
      <c r="V22" s="131">
        <f t="shared" si="8"/>
        <v>3970</v>
      </c>
      <c r="W22" s="131">
        <f t="shared" si="8"/>
        <v>3970</v>
      </c>
      <c r="X22" s="131">
        <f t="shared" si="8"/>
        <v>3970</v>
      </c>
      <c r="Y22" s="131">
        <f t="shared" si="8"/>
        <v>3970</v>
      </c>
      <c r="Z22" s="131">
        <f t="shared" si="8"/>
        <v>3970</v>
      </c>
      <c r="AA22" s="131">
        <f>1190+5215</f>
        <v>6405</v>
      </c>
      <c r="AB22" s="131">
        <f>1190+5215+695</f>
        <v>7100</v>
      </c>
      <c r="AC22" s="131">
        <f>1190+6745</f>
        <v>7935</v>
      </c>
      <c r="AD22" s="131">
        <f>1190+7440</f>
        <v>8630</v>
      </c>
      <c r="AE22" s="131">
        <f>1190+7440</f>
        <v>8630</v>
      </c>
      <c r="AF22" s="131">
        <f>1190+7440</f>
        <v>8630</v>
      </c>
      <c r="AG22" s="44">
        <f>(AF20+AF21+AF22)-(AE20+AE21+AE22)</f>
        <v>0</v>
      </c>
      <c r="AH22" s="91"/>
    </row>
    <row r="23" spans="1:34" x14ac:dyDescent="0.25">
      <c r="A23" s="1" t="s">
        <v>13</v>
      </c>
      <c r="B23" s="43">
        <f>SUM(B19:B22)</f>
        <v>478526</v>
      </c>
      <c r="C23" s="10">
        <f>SUM(C19:C22)</f>
        <v>686933</v>
      </c>
      <c r="D23" s="168"/>
      <c r="E23" s="10">
        <f t="shared" ref="E23:Y23" si="9">SUM(E19:E22)</f>
        <v>272083.33333333331</v>
      </c>
      <c r="F23" s="10">
        <f t="shared" si="9"/>
        <v>282116.66666666669</v>
      </c>
      <c r="G23" s="10">
        <f t="shared" si="9"/>
        <v>0</v>
      </c>
      <c r="H23" s="10">
        <f t="shared" si="9"/>
        <v>299203.33333333331</v>
      </c>
      <c r="I23" s="10">
        <f t="shared" si="9"/>
        <v>299203.33333333331</v>
      </c>
      <c r="J23" s="10">
        <f t="shared" si="9"/>
        <v>310860</v>
      </c>
      <c r="K23" s="10">
        <f t="shared" si="9"/>
        <v>347320</v>
      </c>
      <c r="L23" s="10">
        <f t="shared" si="9"/>
        <v>365463.33333333331</v>
      </c>
      <c r="M23" s="10">
        <f t="shared" si="9"/>
        <v>384857.5</v>
      </c>
      <c r="N23" s="171">
        <f t="shared" si="9"/>
        <v>386856.66666666669</v>
      </c>
      <c r="O23" s="10">
        <f t="shared" si="9"/>
        <v>389265.83333333331</v>
      </c>
      <c r="P23" s="10">
        <f t="shared" si="9"/>
        <v>403099.16666666669</v>
      </c>
      <c r="Q23" s="10">
        <f t="shared" si="9"/>
        <v>416685</v>
      </c>
      <c r="R23" s="10">
        <f t="shared" si="9"/>
        <v>420740.83333333331</v>
      </c>
      <c r="S23" s="10">
        <f t="shared" si="9"/>
        <v>425376.66666666669</v>
      </c>
      <c r="T23" s="10">
        <f t="shared" si="9"/>
        <v>457279.16666666669</v>
      </c>
      <c r="U23" s="10">
        <f t="shared" si="9"/>
        <v>466891.66666666669</v>
      </c>
      <c r="V23" s="10">
        <f t="shared" si="9"/>
        <v>486050.83333333331</v>
      </c>
      <c r="W23" s="10">
        <f t="shared" si="9"/>
        <v>498720.83333333337</v>
      </c>
      <c r="X23" s="10">
        <f t="shared" si="9"/>
        <v>525991.66666666674</v>
      </c>
      <c r="Y23" s="10">
        <f t="shared" si="9"/>
        <v>570397.5</v>
      </c>
      <c r="Z23" s="10">
        <f t="shared" ref="Z23:AA23" si="10">SUM(Z19:Z22)</f>
        <v>616282.5</v>
      </c>
      <c r="AA23" s="10">
        <f t="shared" si="10"/>
        <v>635786.66666666674</v>
      </c>
      <c r="AB23" s="10">
        <f t="shared" ref="AB23:AC23" si="11">SUM(AB19:AB22)</f>
        <v>646293.08333333337</v>
      </c>
      <c r="AC23" s="10">
        <f t="shared" si="11"/>
        <v>660942.25</v>
      </c>
      <c r="AD23" s="10">
        <f t="shared" ref="AD23:AE23" si="12">SUM(AD19:AD22)</f>
        <v>659886.41666666674</v>
      </c>
      <c r="AE23" s="10">
        <f t="shared" si="12"/>
        <v>690231.41666666674</v>
      </c>
      <c r="AF23" s="10">
        <f t="shared" ref="AF23" si="13">SUM(AF19:AF22)</f>
        <v>698817.25</v>
      </c>
    </row>
    <row r="24" spans="1:34" x14ac:dyDescent="0.25">
      <c r="A24" s="6"/>
      <c r="B24" s="65"/>
      <c r="C24" s="98"/>
      <c r="D24" s="98"/>
      <c r="E24" s="4"/>
      <c r="F24" s="4"/>
      <c r="G24" s="4"/>
      <c r="H24" s="4"/>
      <c r="I24" s="4"/>
      <c r="J24" s="4"/>
      <c r="K24" s="4"/>
      <c r="L24" s="4"/>
      <c r="M24" s="4"/>
      <c r="N24" s="7"/>
      <c r="O24" s="131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4" x14ac:dyDescent="0.25">
      <c r="A25" s="1" t="s">
        <v>14</v>
      </c>
      <c r="B25" s="2"/>
      <c r="C25" s="2"/>
      <c r="D25" s="165"/>
      <c r="E25" s="2"/>
      <c r="F25" s="2"/>
      <c r="G25" s="2"/>
      <c r="H25" s="2"/>
      <c r="I25" s="2"/>
      <c r="J25" s="2"/>
      <c r="K25" s="2"/>
      <c r="L25" s="2"/>
      <c r="M25" s="2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</row>
    <row r="26" spans="1:34" x14ac:dyDescent="0.25">
      <c r="A26" s="3" t="s">
        <v>404</v>
      </c>
      <c r="B26" s="4">
        <v>0</v>
      </c>
      <c r="C26" s="4">
        <v>82</v>
      </c>
      <c r="D26" s="169">
        <v>81</v>
      </c>
      <c r="E26" s="4"/>
      <c r="F26" s="4"/>
      <c r="G26" s="4"/>
      <c r="H26" s="4"/>
      <c r="I26" s="4"/>
      <c r="J26" s="4"/>
      <c r="K26" s="4"/>
      <c r="L26" s="4"/>
      <c r="M26" s="4"/>
      <c r="N26" s="7"/>
      <c r="O26" s="7"/>
      <c r="P26" s="7"/>
      <c r="Q26" s="7"/>
      <c r="R26" s="7"/>
      <c r="S26" s="7"/>
      <c r="T26" s="7"/>
      <c r="U26" s="7"/>
      <c r="V26" s="7"/>
      <c r="W26" s="7"/>
      <c r="X26" s="7">
        <v>337</v>
      </c>
      <c r="Y26" s="7">
        <v>337</v>
      </c>
      <c r="Z26" s="7">
        <v>337</v>
      </c>
      <c r="AA26" s="7">
        <v>342</v>
      </c>
      <c r="AB26" s="7">
        <v>342</v>
      </c>
      <c r="AC26" s="7">
        <v>342</v>
      </c>
      <c r="AD26" s="7">
        <v>342</v>
      </c>
      <c r="AE26" s="7">
        <v>342</v>
      </c>
      <c r="AF26" s="7">
        <v>342</v>
      </c>
    </row>
    <row r="27" spans="1:34" x14ac:dyDescent="0.25">
      <c r="A27" s="3"/>
      <c r="B27" s="4">
        <v>0</v>
      </c>
      <c r="C27" s="4">
        <v>78</v>
      </c>
      <c r="D27" s="169">
        <v>94</v>
      </c>
      <c r="E27" s="4"/>
      <c r="F27" s="4"/>
      <c r="G27" s="4"/>
      <c r="H27" s="4"/>
      <c r="I27" s="4"/>
      <c r="J27" s="4"/>
      <c r="K27" s="4"/>
      <c r="L27" s="4"/>
      <c r="M27" s="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4" x14ac:dyDescent="0.25">
      <c r="A28" s="11"/>
      <c r="B28" s="7"/>
      <c r="C28" s="7"/>
      <c r="D28" s="7"/>
      <c r="E28" s="14"/>
      <c r="F28" s="14"/>
      <c r="G28" s="14"/>
      <c r="H28" s="14"/>
      <c r="I28" s="14"/>
      <c r="J28" s="14"/>
      <c r="K28" s="14"/>
      <c r="L28" s="14"/>
      <c r="M28" s="14"/>
    </row>
    <row r="29" spans="1:34" x14ac:dyDescent="0.25">
      <c r="A29" s="12" t="s">
        <v>21</v>
      </c>
      <c r="B29" s="2"/>
      <c r="C29" s="2"/>
      <c r="D29" s="165"/>
      <c r="E29" s="13"/>
      <c r="F29" s="13"/>
      <c r="G29" s="13"/>
      <c r="H29" s="13"/>
      <c r="I29" s="13"/>
      <c r="J29" s="13"/>
      <c r="K29" s="13"/>
      <c r="L29" s="13"/>
      <c r="M29" s="13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</row>
    <row r="30" spans="1:34" x14ac:dyDescent="0.25">
      <c r="A30" s="3" t="s">
        <v>22</v>
      </c>
      <c r="B30" s="4"/>
      <c r="C30" s="4">
        <v>85</v>
      </c>
      <c r="D30" s="169">
        <v>30</v>
      </c>
      <c r="E30" s="14"/>
      <c r="F30" s="14"/>
      <c r="G30" s="14"/>
      <c r="H30" s="14"/>
      <c r="I30" s="14"/>
      <c r="J30" s="14"/>
      <c r="K30" s="14"/>
      <c r="L30" s="14"/>
      <c r="M30" s="14"/>
      <c r="X30">
        <v>34</v>
      </c>
      <c r="Y30">
        <v>34</v>
      </c>
      <c r="Z30">
        <v>55</v>
      </c>
      <c r="AA30">
        <v>55</v>
      </c>
      <c r="AB30">
        <v>55</v>
      </c>
      <c r="AC30">
        <v>55</v>
      </c>
      <c r="AD30">
        <v>55</v>
      </c>
      <c r="AE30">
        <v>55</v>
      </c>
      <c r="AF30">
        <v>76</v>
      </c>
      <c r="AG30" s="174">
        <f>(AF30/699)*100</f>
        <v>10.872675250357654</v>
      </c>
    </row>
    <row r="31" spans="1:34" x14ac:dyDescent="0.25">
      <c r="A31" s="3" t="s">
        <v>308</v>
      </c>
      <c r="B31" s="4"/>
      <c r="C31" s="4">
        <v>388</v>
      </c>
      <c r="D31" s="169">
        <v>196</v>
      </c>
      <c r="E31" s="14"/>
      <c r="F31" s="14"/>
      <c r="G31" s="14"/>
      <c r="H31" s="14"/>
      <c r="I31" s="14"/>
      <c r="J31" s="14"/>
      <c r="K31" s="14"/>
      <c r="L31" s="14"/>
      <c r="M31" s="14"/>
      <c r="X31">
        <v>73</v>
      </c>
      <c r="Y31">
        <v>73</v>
      </c>
      <c r="Z31">
        <v>153</v>
      </c>
      <c r="AA31">
        <v>153</v>
      </c>
      <c r="AB31">
        <v>153</v>
      </c>
      <c r="AC31">
        <v>153</v>
      </c>
      <c r="AD31">
        <v>153</v>
      </c>
      <c r="AE31">
        <v>153</v>
      </c>
      <c r="AF31">
        <f>361+9</f>
        <v>370</v>
      </c>
      <c r="AG31" s="174">
        <f t="shared" ref="AG31:AG33" si="14">(AF31/699)*100</f>
        <v>52.932761087267522</v>
      </c>
    </row>
    <row r="32" spans="1:34" x14ac:dyDescent="0.25">
      <c r="A32" s="3" t="s">
        <v>23</v>
      </c>
      <c r="B32" s="4"/>
      <c r="C32" s="4">
        <v>46</v>
      </c>
      <c r="D32" s="169">
        <v>15</v>
      </c>
      <c r="E32" s="14"/>
      <c r="F32" s="14"/>
      <c r="G32" s="14"/>
      <c r="H32" s="14"/>
      <c r="I32" s="14"/>
      <c r="J32" s="14"/>
      <c r="K32" s="14"/>
      <c r="L32" s="14"/>
      <c r="M32" s="14"/>
      <c r="X32">
        <v>6</v>
      </c>
      <c r="Y32">
        <v>6</v>
      </c>
      <c r="Z32">
        <v>14</v>
      </c>
      <c r="AA32">
        <v>14</v>
      </c>
      <c r="AB32">
        <v>14</v>
      </c>
      <c r="AC32">
        <v>14</v>
      </c>
      <c r="AD32">
        <v>14</v>
      </c>
      <c r="AE32">
        <v>14</v>
      </c>
      <c r="AF32">
        <v>29</v>
      </c>
      <c r="AG32" s="174">
        <f t="shared" si="14"/>
        <v>4.148783977110158</v>
      </c>
    </row>
    <row r="33" spans="1:34" x14ac:dyDescent="0.25">
      <c r="A33" s="3" t="s">
        <v>219</v>
      </c>
      <c r="B33" s="4"/>
      <c r="C33" s="4"/>
      <c r="D33" s="169">
        <v>88</v>
      </c>
      <c r="E33" s="14"/>
      <c r="F33" s="14"/>
      <c r="G33" s="14"/>
      <c r="H33" s="14"/>
      <c r="I33" s="14"/>
      <c r="J33" s="14"/>
      <c r="K33" s="14"/>
      <c r="L33" s="14"/>
      <c r="M33" s="14"/>
      <c r="X33">
        <v>1</v>
      </c>
      <c r="Y33">
        <v>1</v>
      </c>
      <c r="Z33">
        <v>158</v>
      </c>
      <c r="AA33">
        <v>158</v>
      </c>
      <c r="AB33">
        <v>158</v>
      </c>
      <c r="AC33">
        <v>158</v>
      </c>
      <c r="AD33">
        <v>158</v>
      </c>
      <c r="AE33">
        <v>158</v>
      </c>
      <c r="AF33" s="62">
        <f>169+55</f>
        <v>224</v>
      </c>
      <c r="AG33" s="174">
        <f t="shared" si="14"/>
        <v>32.045779685264662</v>
      </c>
    </row>
    <row r="34" spans="1:34" x14ac:dyDescent="0.25">
      <c r="A34" s="3" t="s">
        <v>134</v>
      </c>
      <c r="B34" s="4"/>
      <c r="C34" s="4">
        <v>717</v>
      </c>
      <c r="D34" s="169"/>
      <c r="E34" s="14"/>
      <c r="F34" s="14"/>
      <c r="G34" s="14"/>
      <c r="H34" s="14"/>
      <c r="I34" s="14"/>
      <c r="J34" s="14"/>
      <c r="K34" s="14"/>
      <c r="L34" s="14"/>
      <c r="M34" s="14"/>
      <c r="AF34">
        <f>SUM(AF30:AF33)</f>
        <v>699</v>
      </c>
    </row>
    <row r="35" spans="1:34" x14ac:dyDescent="0.25">
      <c r="A35" s="12" t="s">
        <v>24</v>
      </c>
      <c r="B35" s="2"/>
      <c r="C35" s="2"/>
      <c r="D35" s="165"/>
      <c r="E35" s="13"/>
      <c r="F35" s="13"/>
      <c r="G35" s="13"/>
      <c r="H35" s="13"/>
      <c r="I35" s="13"/>
      <c r="J35" s="13"/>
      <c r="K35" s="13"/>
      <c r="L35" s="13"/>
      <c r="M35" s="13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t="s">
        <v>462</v>
      </c>
    </row>
    <row r="36" spans="1:34" x14ac:dyDescent="0.25">
      <c r="A36" s="3" t="s">
        <v>408</v>
      </c>
      <c r="B36" s="4"/>
      <c r="C36" s="4">
        <v>232</v>
      </c>
      <c r="D36" s="169">
        <v>188</v>
      </c>
      <c r="E36" s="14">
        <v>5</v>
      </c>
      <c r="F36" s="14">
        <v>5</v>
      </c>
      <c r="G36" s="14"/>
      <c r="H36" s="14"/>
      <c r="I36" s="14"/>
      <c r="J36" s="14"/>
      <c r="K36" s="14"/>
      <c r="L36" s="14"/>
      <c r="M36" s="14"/>
      <c r="X36">
        <f>33+1+2+51+6+3+5+3</f>
        <v>104</v>
      </c>
      <c r="Y36">
        <f>33+1+2+51+6+3+5+3</f>
        <v>104</v>
      </c>
      <c r="Z36">
        <f t="shared" ref="Z36:AE36" si="15">34+1+3+122+11+6+9+9+1+6</f>
        <v>202</v>
      </c>
      <c r="AA36">
        <f t="shared" si="15"/>
        <v>202</v>
      </c>
      <c r="AB36">
        <f t="shared" si="15"/>
        <v>202</v>
      </c>
      <c r="AC36">
        <f t="shared" si="15"/>
        <v>202</v>
      </c>
      <c r="AD36">
        <f t="shared" si="15"/>
        <v>202</v>
      </c>
      <c r="AE36">
        <f t="shared" si="15"/>
        <v>202</v>
      </c>
      <c r="AF36">
        <v>259</v>
      </c>
      <c r="AG36" s="176">
        <v>0.31</v>
      </c>
      <c r="AH36" s="174"/>
    </row>
    <row r="37" spans="1:34" x14ac:dyDescent="0.25">
      <c r="A37" s="3" t="s">
        <v>407</v>
      </c>
      <c r="B37" s="4"/>
      <c r="C37" s="4">
        <v>194</v>
      </c>
      <c r="D37" s="169">
        <v>165</v>
      </c>
      <c r="E37" s="14">
        <v>1</v>
      </c>
      <c r="F37" s="14">
        <v>1</v>
      </c>
      <c r="G37" s="14"/>
      <c r="H37" s="14"/>
      <c r="I37" s="14"/>
      <c r="J37" s="14"/>
      <c r="K37" s="14"/>
      <c r="L37" s="14"/>
      <c r="M37" s="14"/>
      <c r="X37">
        <f>0+1+1+17+3+4+32+7+7</f>
        <v>72</v>
      </c>
      <c r="Y37">
        <f>0+1+1+17+3+4+32+7+7</f>
        <v>72</v>
      </c>
      <c r="Z37">
        <f t="shared" ref="Z37:AE37" si="16">0+1+1+1+1+34+7+6+52+14+13+2</f>
        <v>132</v>
      </c>
      <c r="AA37">
        <f t="shared" si="16"/>
        <v>132</v>
      </c>
      <c r="AB37">
        <f t="shared" si="16"/>
        <v>132</v>
      </c>
      <c r="AC37">
        <f t="shared" si="16"/>
        <v>132</v>
      </c>
      <c r="AD37">
        <f t="shared" si="16"/>
        <v>132</v>
      </c>
      <c r="AE37">
        <f t="shared" si="16"/>
        <v>132</v>
      </c>
      <c r="AF37">
        <v>168</v>
      </c>
      <c r="AG37" s="176">
        <v>0.2</v>
      </c>
      <c r="AH37" s="174"/>
    </row>
    <row r="38" spans="1:34" x14ac:dyDescent="0.25">
      <c r="A38" s="3" t="s">
        <v>405</v>
      </c>
      <c r="B38" s="4"/>
      <c r="C38" s="4">
        <v>277</v>
      </c>
      <c r="D38" s="169">
        <v>212</v>
      </c>
      <c r="E38" s="14">
        <v>11</v>
      </c>
      <c r="F38" s="14">
        <v>11</v>
      </c>
      <c r="G38" s="14"/>
      <c r="H38" s="14"/>
      <c r="I38" s="14"/>
      <c r="J38" s="14"/>
      <c r="K38" s="14"/>
      <c r="L38" s="14"/>
      <c r="M38" s="14"/>
      <c r="X38">
        <f>21+1+1+1+28+3+10+15+3+45+10</f>
        <v>138</v>
      </c>
      <c r="Y38">
        <f>21+1+1+1+28+3+10+15+3+45+10</f>
        <v>138</v>
      </c>
      <c r="Z38">
        <f t="shared" ref="Z38:AE38" si="17">21+1+2+1+44+5+24+40+6+80+10</f>
        <v>234</v>
      </c>
      <c r="AA38">
        <f t="shared" si="17"/>
        <v>234</v>
      </c>
      <c r="AB38">
        <f t="shared" si="17"/>
        <v>234</v>
      </c>
      <c r="AC38">
        <f t="shared" si="17"/>
        <v>234</v>
      </c>
      <c r="AD38">
        <f t="shared" si="17"/>
        <v>234</v>
      </c>
      <c r="AE38">
        <f t="shared" si="17"/>
        <v>234</v>
      </c>
      <c r="AF38">
        <v>313</v>
      </c>
      <c r="AG38" s="176">
        <v>0.38</v>
      </c>
      <c r="AH38" s="174"/>
    </row>
    <row r="39" spans="1:34" x14ac:dyDescent="0.25">
      <c r="A39" s="3" t="s">
        <v>406</v>
      </c>
      <c r="B39" s="4"/>
      <c r="C39" s="4">
        <v>76</v>
      </c>
      <c r="D39" s="169">
        <v>59</v>
      </c>
      <c r="E39" s="14">
        <v>2</v>
      </c>
      <c r="F39" s="14">
        <v>2</v>
      </c>
      <c r="G39" s="14"/>
      <c r="H39" s="14"/>
      <c r="I39" s="14"/>
      <c r="J39" s="14"/>
      <c r="K39" s="14"/>
      <c r="L39" s="14"/>
      <c r="M39" s="14"/>
      <c r="X39">
        <f>8+1+9+1+3</f>
        <v>22</v>
      </c>
      <c r="Y39">
        <f>8+1+9+1+3</f>
        <v>22</v>
      </c>
      <c r="Z39">
        <f t="shared" ref="Z39:AE39" si="18">8+4+18+3+9+8</f>
        <v>50</v>
      </c>
      <c r="AA39">
        <f t="shared" si="18"/>
        <v>50</v>
      </c>
      <c r="AB39">
        <f t="shared" si="18"/>
        <v>50</v>
      </c>
      <c r="AC39">
        <f t="shared" si="18"/>
        <v>50</v>
      </c>
      <c r="AD39">
        <f t="shared" si="18"/>
        <v>50</v>
      </c>
      <c r="AE39">
        <f t="shared" si="18"/>
        <v>50</v>
      </c>
      <c r="AF39">
        <v>85</v>
      </c>
      <c r="AG39" s="176">
        <v>0.1</v>
      </c>
      <c r="AH39" s="174"/>
    </row>
    <row r="40" spans="1:34" x14ac:dyDescent="0.25">
      <c r="A40" s="15" t="s">
        <v>194</v>
      </c>
      <c r="B40" s="7"/>
      <c r="C40" s="7">
        <v>385</v>
      </c>
      <c r="D40" s="7">
        <v>169</v>
      </c>
      <c r="E40" s="14"/>
      <c r="F40" s="14"/>
      <c r="G40" s="14"/>
      <c r="H40" s="14"/>
      <c r="I40" s="14"/>
      <c r="J40" s="14"/>
      <c r="K40" s="14"/>
      <c r="L40" s="14"/>
      <c r="M40" s="14"/>
      <c r="Z40">
        <v>81</v>
      </c>
      <c r="AA40">
        <v>89</v>
      </c>
      <c r="AB40">
        <v>89</v>
      </c>
      <c r="AC40">
        <v>89</v>
      </c>
      <c r="AD40">
        <v>89</v>
      </c>
      <c r="AE40">
        <v>89</v>
      </c>
      <c r="AF40">
        <v>369</v>
      </c>
    </row>
    <row r="41" spans="1:34" x14ac:dyDescent="0.25">
      <c r="A41" s="11"/>
      <c r="B41" s="7"/>
      <c r="C41" s="7"/>
      <c r="D41" s="7"/>
    </row>
    <row r="42" spans="1:34" x14ac:dyDescent="0.25">
      <c r="A42" s="173" t="s">
        <v>418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4" x14ac:dyDescent="0.25">
      <c r="B43" s="4"/>
    </row>
    <row r="44" spans="1:34" x14ac:dyDescent="0.25">
      <c r="A44" t="s">
        <v>419</v>
      </c>
      <c r="B44" s="4"/>
    </row>
    <row r="45" spans="1:34" x14ac:dyDescent="0.25">
      <c r="A45" t="s">
        <v>420</v>
      </c>
      <c r="B45" s="4"/>
      <c r="D45">
        <v>294</v>
      </c>
      <c r="Z45">
        <v>138</v>
      </c>
      <c r="AA45">
        <v>138</v>
      </c>
      <c r="AB45">
        <v>138</v>
      </c>
      <c r="AC45">
        <v>138</v>
      </c>
      <c r="AD45">
        <v>138</v>
      </c>
      <c r="AE45">
        <v>138</v>
      </c>
      <c r="AF45" s="83">
        <v>305</v>
      </c>
    </row>
    <row r="46" spans="1:34" x14ac:dyDescent="0.25">
      <c r="A46" t="s">
        <v>421</v>
      </c>
      <c r="B46" s="4"/>
      <c r="D46">
        <v>34</v>
      </c>
      <c r="Z46">
        <v>17</v>
      </c>
      <c r="AA46">
        <v>17</v>
      </c>
      <c r="AB46">
        <v>17</v>
      </c>
      <c r="AC46">
        <v>17</v>
      </c>
      <c r="AD46">
        <v>17</v>
      </c>
      <c r="AE46">
        <v>17</v>
      </c>
      <c r="AF46" s="83">
        <v>38</v>
      </c>
    </row>
    <row r="47" spans="1:34" x14ac:dyDescent="0.25">
      <c r="A47" t="s">
        <v>422</v>
      </c>
      <c r="B47" s="7"/>
      <c r="D47">
        <v>156</v>
      </c>
      <c r="Z47">
        <v>60</v>
      </c>
      <c r="AA47">
        <v>60</v>
      </c>
      <c r="AB47">
        <v>60</v>
      </c>
      <c r="AC47">
        <v>60</v>
      </c>
      <c r="AD47">
        <v>60</v>
      </c>
      <c r="AE47">
        <v>60</v>
      </c>
      <c r="AF47" s="83">
        <v>147</v>
      </c>
    </row>
    <row r="48" spans="1:34" x14ac:dyDescent="0.25">
      <c r="A48" t="s">
        <v>423</v>
      </c>
      <c r="D48">
        <v>83</v>
      </c>
      <c r="Z48">
        <v>66</v>
      </c>
      <c r="AA48">
        <v>66</v>
      </c>
      <c r="AB48">
        <v>66</v>
      </c>
      <c r="AC48">
        <v>66</v>
      </c>
      <c r="AD48">
        <v>66</v>
      </c>
      <c r="AE48">
        <v>66</v>
      </c>
      <c r="AF48" s="83">
        <v>101</v>
      </c>
    </row>
    <row r="49" spans="1:33" x14ac:dyDescent="0.25">
      <c r="A49" t="s">
        <v>424</v>
      </c>
      <c r="D49">
        <v>53</v>
      </c>
      <c r="Z49">
        <v>30</v>
      </c>
      <c r="AA49">
        <v>30</v>
      </c>
      <c r="AB49">
        <v>30</v>
      </c>
      <c r="AC49">
        <v>30</v>
      </c>
      <c r="AD49">
        <v>30</v>
      </c>
      <c r="AE49">
        <v>30</v>
      </c>
      <c r="AF49" s="83">
        <v>64</v>
      </c>
    </row>
    <row r="50" spans="1:33" x14ac:dyDescent="0.25">
      <c r="A50" t="s">
        <v>425</v>
      </c>
      <c r="D50">
        <v>35</v>
      </c>
      <c r="Z50">
        <v>22</v>
      </c>
      <c r="AA50">
        <v>22</v>
      </c>
      <c r="AB50">
        <v>22</v>
      </c>
      <c r="AC50">
        <v>22</v>
      </c>
      <c r="AD50">
        <v>22</v>
      </c>
      <c r="AE50">
        <v>22</v>
      </c>
      <c r="AF50" s="83">
        <v>37</v>
      </c>
    </row>
    <row r="51" spans="1:33" x14ac:dyDescent="0.25">
      <c r="A51" t="s">
        <v>426</v>
      </c>
      <c r="D51">
        <v>188</v>
      </c>
      <c r="Z51">
        <v>84</v>
      </c>
      <c r="AA51">
        <v>84</v>
      </c>
      <c r="AB51">
        <v>84</v>
      </c>
      <c r="AC51">
        <v>84</v>
      </c>
      <c r="AD51">
        <v>84</v>
      </c>
      <c r="AE51">
        <v>84</v>
      </c>
      <c r="AF51" s="83">
        <v>299</v>
      </c>
    </row>
    <row r="52" spans="1:33" x14ac:dyDescent="0.25">
      <c r="A52" t="s">
        <v>427</v>
      </c>
      <c r="D52">
        <v>216</v>
      </c>
      <c r="Z52">
        <v>61</v>
      </c>
      <c r="AA52">
        <v>61</v>
      </c>
      <c r="AB52">
        <v>61</v>
      </c>
      <c r="AC52">
        <v>61</v>
      </c>
      <c r="AD52">
        <v>61</v>
      </c>
      <c r="AE52">
        <v>61</v>
      </c>
      <c r="AF52" s="83">
        <v>133</v>
      </c>
    </row>
    <row r="53" spans="1:33" x14ac:dyDescent="0.25">
      <c r="A53" t="s">
        <v>428</v>
      </c>
      <c r="D53">
        <v>96</v>
      </c>
      <c r="Z53">
        <v>58</v>
      </c>
      <c r="AA53">
        <v>58</v>
      </c>
      <c r="AB53">
        <v>58</v>
      </c>
      <c r="AC53">
        <v>58</v>
      </c>
      <c r="AD53">
        <v>58</v>
      </c>
      <c r="AE53">
        <v>58</v>
      </c>
      <c r="AF53" s="83">
        <v>113</v>
      </c>
    </row>
    <row r="54" spans="1:33" x14ac:dyDescent="0.25">
      <c r="AF54" s="83"/>
    </row>
    <row r="55" spans="1:33" x14ac:dyDescent="0.25">
      <c r="A55" t="s">
        <v>429</v>
      </c>
      <c r="D55">
        <v>82</v>
      </c>
      <c r="Z55">
        <v>40</v>
      </c>
      <c r="AA55">
        <v>40</v>
      </c>
      <c r="AB55">
        <v>40</v>
      </c>
      <c r="AC55">
        <v>40</v>
      </c>
      <c r="AD55">
        <v>40</v>
      </c>
      <c r="AE55">
        <v>40</v>
      </c>
      <c r="AF55" s="83">
        <v>71</v>
      </c>
    </row>
    <row r="56" spans="1:33" x14ac:dyDescent="0.25">
      <c r="A56" s="11" t="s">
        <v>430</v>
      </c>
      <c r="D56">
        <v>30</v>
      </c>
      <c r="Z56">
        <v>19</v>
      </c>
      <c r="AA56">
        <v>19</v>
      </c>
      <c r="AB56">
        <v>19</v>
      </c>
      <c r="AC56">
        <v>19</v>
      </c>
      <c r="AD56">
        <v>19</v>
      </c>
      <c r="AE56">
        <v>19</v>
      </c>
      <c r="AF56" s="83">
        <v>57</v>
      </c>
    </row>
    <row r="57" spans="1:33" x14ac:dyDescent="0.25">
      <c r="A57" s="11" t="s">
        <v>431</v>
      </c>
      <c r="D57">
        <v>14</v>
      </c>
      <c r="Z57">
        <v>13</v>
      </c>
      <c r="AA57">
        <v>13</v>
      </c>
      <c r="AB57">
        <v>13</v>
      </c>
      <c r="AC57">
        <v>13</v>
      </c>
      <c r="AD57">
        <v>13</v>
      </c>
      <c r="AE57">
        <v>13</v>
      </c>
      <c r="AF57" s="83">
        <v>24</v>
      </c>
    </row>
    <row r="58" spans="1:33" x14ac:dyDescent="0.25">
      <c r="AF58" s="83"/>
    </row>
    <row r="59" spans="1:33" x14ac:dyDescent="0.25">
      <c r="A59" t="s">
        <v>432</v>
      </c>
      <c r="Z59">
        <v>58</v>
      </c>
      <c r="AA59">
        <v>58</v>
      </c>
      <c r="AB59">
        <v>58</v>
      </c>
      <c r="AC59">
        <v>58</v>
      </c>
      <c r="AD59">
        <v>58</v>
      </c>
      <c r="AE59">
        <v>58</v>
      </c>
      <c r="AF59" s="83">
        <v>105</v>
      </c>
    </row>
    <row r="60" spans="1:33" x14ac:dyDescent="0.25">
      <c r="A60" s="6" t="s">
        <v>409</v>
      </c>
      <c r="AF60" s="83"/>
    </row>
    <row r="61" spans="1:33" x14ac:dyDescent="0.25">
      <c r="AF61">
        <f>SUM(AF45:AF60)</f>
        <v>1494</v>
      </c>
      <c r="AG61" t="s">
        <v>455</v>
      </c>
    </row>
    <row r="65" spans="1:1" x14ac:dyDescent="0.25">
      <c r="A65" t="s">
        <v>410</v>
      </c>
    </row>
  </sheetData>
  <pageMargins left="0.7" right="0.7" top="0.75" bottom="0.75" header="0.3" footer="0.3"/>
  <pageSetup paperSize="9" orientation="portrait" horizontalDpi="4294967294" verticalDpi="429496729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3"/>
  <sheetViews>
    <sheetView topLeftCell="C1" workbookViewId="0">
      <pane ySplit="4" topLeftCell="A17" activePane="bottomLeft" state="frozen"/>
      <selection pane="bottomLeft" activeCell="G72" sqref="G72"/>
    </sheetView>
  </sheetViews>
  <sheetFormatPr defaultColWidth="8.7109375" defaultRowHeight="15" x14ac:dyDescent="0.25"/>
  <cols>
    <col min="1" max="1" width="3.28515625" customWidth="1"/>
    <col min="2" max="2" width="17.7109375" customWidth="1"/>
    <col min="3" max="3" width="24.7109375" customWidth="1"/>
    <col min="4" max="4" width="11.42578125" style="56" bestFit="1" customWidth="1"/>
    <col min="5" max="5" width="13.7109375" style="56" customWidth="1"/>
    <col min="6" max="6" width="14.28515625" customWidth="1"/>
    <col min="7" max="7" width="12.7109375" bestFit="1" customWidth="1"/>
    <col min="8" max="8" width="10.7109375" customWidth="1"/>
    <col min="9" max="10" width="8.7109375" style="56"/>
  </cols>
  <sheetData>
    <row r="1" spans="1:11" x14ac:dyDescent="0.25">
      <c r="A1" s="20"/>
      <c r="B1" s="21"/>
      <c r="C1" s="22" t="s">
        <v>27</v>
      </c>
      <c r="D1" s="104" t="s">
        <v>28</v>
      </c>
      <c r="E1" s="104"/>
      <c r="F1" s="23" t="s">
        <v>29</v>
      </c>
      <c r="G1" s="24" t="s">
        <v>30</v>
      </c>
      <c r="H1" s="25" t="s">
        <v>114</v>
      </c>
      <c r="I1" s="110"/>
      <c r="J1" s="110"/>
    </row>
    <row r="2" spans="1:11" x14ac:dyDescent="0.25">
      <c r="A2" s="145" t="s">
        <v>63</v>
      </c>
      <c r="B2" s="146"/>
      <c r="C2" s="51">
        <f>F89+G89+H89</f>
        <v>493245</v>
      </c>
      <c r="D2" s="147" t="s">
        <v>113</v>
      </c>
      <c r="E2" s="150">
        <v>47800</v>
      </c>
      <c r="F2" s="151" t="s">
        <v>111</v>
      </c>
      <c r="G2" s="148">
        <f>C4-C2</f>
        <v>-11245</v>
      </c>
      <c r="H2" s="149"/>
      <c r="I2" s="149"/>
      <c r="J2" s="149"/>
      <c r="K2" t="s">
        <v>141</v>
      </c>
    </row>
    <row r="3" spans="1:11" x14ac:dyDescent="0.25">
      <c r="A3" s="72"/>
      <c r="B3" s="73"/>
      <c r="C3" s="74"/>
      <c r="D3" s="106"/>
      <c r="E3" s="106"/>
      <c r="F3" s="75"/>
      <c r="G3" s="76"/>
      <c r="H3" s="77"/>
      <c r="I3" s="112"/>
      <c r="J3" s="112"/>
      <c r="K3" s="89">
        <f>K161</f>
        <v>0</v>
      </c>
    </row>
    <row r="4" spans="1:11" x14ac:dyDescent="0.25">
      <c r="A4" s="68" t="s">
        <v>110</v>
      </c>
      <c r="B4" s="67"/>
      <c r="C4" s="116">
        <f>F4+G4+H4</f>
        <v>482000</v>
      </c>
      <c r="D4" s="117"/>
      <c r="E4" s="117"/>
      <c r="F4" s="116">
        <f>12000+5000</f>
        <v>17000</v>
      </c>
      <c r="G4" s="116">
        <v>450000</v>
      </c>
      <c r="H4" s="116">
        <v>15000</v>
      </c>
      <c r="I4" s="113" t="s">
        <v>225</v>
      </c>
      <c r="J4" s="113" t="s">
        <v>328</v>
      </c>
      <c r="K4" t="s">
        <v>140</v>
      </c>
    </row>
    <row r="5" spans="1:11" x14ac:dyDescent="0.25">
      <c r="A5" s="27"/>
      <c r="B5" s="28"/>
      <c r="C5" s="29"/>
      <c r="D5" s="107"/>
      <c r="E5" s="107"/>
      <c r="F5" s="30"/>
      <c r="G5" s="31"/>
      <c r="H5" s="32"/>
      <c r="I5" s="6" t="s">
        <v>221</v>
      </c>
      <c r="J5" s="6"/>
    </row>
    <row r="6" spans="1:11" x14ac:dyDescent="0.25">
      <c r="A6" s="34">
        <v>1</v>
      </c>
      <c r="B6" s="33" t="s">
        <v>33</v>
      </c>
      <c r="C6" s="83" t="s">
        <v>40</v>
      </c>
      <c r="D6" s="56" t="s">
        <v>324</v>
      </c>
      <c r="E6" s="56" t="s">
        <v>228</v>
      </c>
      <c r="F6" s="125">
        <v>4245</v>
      </c>
      <c r="G6" s="132">
        <v>28480</v>
      </c>
      <c r="H6" s="125"/>
      <c r="I6" s="114">
        <v>-11</v>
      </c>
      <c r="J6" s="114"/>
      <c r="K6">
        <v>6</v>
      </c>
    </row>
    <row r="7" spans="1:11" x14ac:dyDescent="0.25">
      <c r="A7" s="34">
        <v>2</v>
      </c>
      <c r="B7" s="33" t="s">
        <v>33</v>
      </c>
      <c r="C7" s="29" t="s">
        <v>32</v>
      </c>
      <c r="D7" s="108">
        <v>36</v>
      </c>
      <c r="E7" s="56" t="s">
        <v>227</v>
      </c>
      <c r="F7" s="125">
        <v>1995</v>
      </c>
      <c r="G7" s="132">
        <v>32000</v>
      </c>
      <c r="H7" s="125"/>
      <c r="I7" s="114" t="s">
        <v>330</v>
      </c>
      <c r="K7">
        <v>6</v>
      </c>
    </row>
    <row r="8" spans="1:11" x14ac:dyDescent="0.25">
      <c r="A8" s="34">
        <v>3</v>
      </c>
      <c r="B8" s="33" t="s">
        <v>33</v>
      </c>
      <c r="C8" s="83" t="s">
        <v>37</v>
      </c>
      <c r="D8" s="56">
        <v>20</v>
      </c>
      <c r="E8" s="56" t="s">
        <v>226</v>
      </c>
      <c r="F8" s="125"/>
      <c r="G8" s="132">
        <v>19200</v>
      </c>
      <c r="H8" s="125"/>
      <c r="I8" s="114">
        <v>-20</v>
      </c>
      <c r="J8" s="114"/>
      <c r="K8">
        <v>6</v>
      </c>
    </row>
    <row r="9" spans="1:11" x14ac:dyDescent="0.25">
      <c r="A9" s="34">
        <v>4</v>
      </c>
      <c r="B9" s="33" t="s">
        <v>33</v>
      </c>
      <c r="C9" s="83" t="s">
        <v>36</v>
      </c>
      <c r="D9" s="56" t="s">
        <v>331</v>
      </c>
      <c r="E9" s="56" t="s">
        <v>226</v>
      </c>
      <c r="F9" s="125"/>
      <c r="G9" s="132">
        <v>19200</v>
      </c>
      <c r="H9" s="125"/>
      <c r="I9" s="56" t="s">
        <v>69</v>
      </c>
      <c r="K9">
        <v>6</v>
      </c>
    </row>
    <row r="10" spans="1:11" x14ac:dyDescent="0.25">
      <c r="A10" s="34">
        <v>5</v>
      </c>
      <c r="B10" s="33" t="s">
        <v>33</v>
      </c>
      <c r="C10" s="83" t="s">
        <v>35</v>
      </c>
      <c r="D10" s="56">
        <v>51</v>
      </c>
      <c r="F10" s="125">
        <v>2500</v>
      </c>
      <c r="G10" s="132">
        <v>32000</v>
      </c>
      <c r="H10" s="125"/>
      <c r="I10" s="114" t="s">
        <v>329</v>
      </c>
      <c r="K10">
        <v>6</v>
      </c>
    </row>
    <row r="11" spans="1:11" x14ac:dyDescent="0.25">
      <c r="A11" s="34">
        <v>6</v>
      </c>
      <c r="B11" s="33" t="s">
        <v>33</v>
      </c>
      <c r="C11" s="83" t="s">
        <v>38</v>
      </c>
      <c r="D11" s="56">
        <v>10</v>
      </c>
      <c r="E11" s="56" t="s">
        <v>226</v>
      </c>
      <c r="F11" s="125"/>
      <c r="G11" s="132">
        <v>19200</v>
      </c>
      <c r="H11" s="125"/>
      <c r="I11" s="56" t="s">
        <v>69</v>
      </c>
      <c r="K11">
        <v>6</v>
      </c>
    </row>
    <row r="12" spans="1:11" x14ac:dyDescent="0.25">
      <c r="A12" s="34">
        <v>7</v>
      </c>
      <c r="B12" s="33" t="s">
        <v>33</v>
      </c>
      <c r="C12" s="83" t="s">
        <v>209</v>
      </c>
      <c r="D12" s="56">
        <v>52</v>
      </c>
      <c r="F12" s="125"/>
      <c r="G12" s="132">
        <v>19200</v>
      </c>
      <c r="H12" s="125"/>
      <c r="I12" s="56" t="s">
        <v>69</v>
      </c>
      <c r="K12">
        <v>6</v>
      </c>
    </row>
    <row r="13" spans="1:11" x14ac:dyDescent="0.25">
      <c r="A13" s="34"/>
      <c r="B13" s="33"/>
      <c r="C13" s="83"/>
      <c r="F13" s="125"/>
      <c r="G13" s="132"/>
      <c r="H13" s="125"/>
    </row>
    <row r="14" spans="1:11" x14ac:dyDescent="0.25">
      <c r="A14" s="34"/>
      <c r="B14" s="152" t="s">
        <v>325</v>
      </c>
      <c r="C14" s="83" t="s">
        <v>40</v>
      </c>
      <c r="D14" s="56" t="s">
        <v>326</v>
      </c>
      <c r="E14" s="56" t="s">
        <v>327</v>
      </c>
      <c r="F14" s="125"/>
      <c r="G14" s="132">
        <v>4995</v>
      </c>
      <c r="H14" s="125"/>
    </row>
    <row r="15" spans="1:11" x14ac:dyDescent="0.25">
      <c r="A15" s="34"/>
      <c r="B15" s="33"/>
      <c r="C15" s="83"/>
      <c r="F15" s="125"/>
      <c r="G15" s="132"/>
      <c r="H15" s="125"/>
    </row>
    <row r="16" spans="1:11" x14ac:dyDescent="0.25">
      <c r="A16" s="34"/>
      <c r="B16" s="33"/>
      <c r="C16" s="83"/>
      <c r="F16" s="125"/>
      <c r="G16" s="132"/>
      <c r="H16" s="125"/>
    </row>
    <row r="17" spans="1:10" x14ac:dyDescent="0.25">
      <c r="A17" s="34"/>
      <c r="B17" s="33"/>
      <c r="C17" s="83"/>
      <c r="F17" s="125"/>
      <c r="G17" s="132"/>
      <c r="H17" s="125"/>
    </row>
    <row r="18" spans="1:10" x14ac:dyDescent="0.25">
      <c r="A18" s="118"/>
      <c r="B18" s="118"/>
      <c r="C18" s="118" t="s">
        <v>318</v>
      </c>
      <c r="D18" s="119"/>
      <c r="E18" s="119"/>
      <c r="F18" s="126"/>
      <c r="G18" s="118"/>
      <c r="H18" s="126"/>
      <c r="I18" s="119"/>
      <c r="J18" s="119"/>
    </row>
    <row r="19" spans="1:10" x14ac:dyDescent="0.25">
      <c r="A19" s="34"/>
      <c r="B19" s="109"/>
      <c r="F19" s="125"/>
      <c r="G19" s="84"/>
      <c r="H19" s="125"/>
      <c r="I19" s="114"/>
      <c r="J19" s="114"/>
    </row>
    <row r="20" spans="1:10" x14ac:dyDescent="0.25">
      <c r="A20" s="34">
        <v>48</v>
      </c>
      <c r="B20" s="109" t="s">
        <v>31</v>
      </c>
      <c r="C20" t="s">
        <v>386</v>
      </c>
      <c r="D20" s="56">
        <v>14</v>
      </c>
      <c r="F20" s="84"/>
      <c r="G20" s="84">
        <v>2040</v>
      </c>
      <c r="H20" s="125"/>
      <c r="I20" s="114"/>
    </row>
    <row r="21" spans="1:10" x14ac:dyDescent="0.25">
      <c r="A21" s="34">
        <v>8</v>
      </c>
      <c r="B21" s="109" t="s">
        <v>31</v>
      </c>
      <c r="C21" t="s">
        <v>68</v>
      </c>
      <c r="D21" s="56">
        <v>28</v>
      </c>
      <c r="F21" s="84"/>
      <c r="G21" s="84">
        <v>9600</v>
      </c>
      <c r="H21" s="125"/>
      <c r="I21" s="56" t="s">
        <v>69</v>
      </c>
      <c r="J21" s="56">
        <v>0</v>
      </c>
    </row>
    <row r="22" spans="1:10" x14ac:dyDescent="0.25">
      <c r="A22" s="34">
        <v>9</v>
      </c>
      <c r="B22" s="109" t="s">
        <v>31</v>
      </c>
      <c r="C22" t="s">
        <v>237</v>
      </c>
      <c r="D22" s="56" t="s">
        <v>334</v>
      </c>
      <c r="F22" s="125"/>
      <c r="G22" s="84">
        <v>5120</v>
      </c>
      <c r="H22" s="125">
        <v>695</v>
      </c>
      <c r="I22" s="114" t="s">
        <v>352</v>
      </c>
      <c r="J22" s="114">
        <v>7</v>
      </c>
    </row>
    <row r="23" spans="1:10" x14ac:dyDescent="0.25">
      <c r="A23" s="34">
        <v>10</v>
      </c>
      <c r="B23" s="109" t="s">
        <v>31</v>
      </c>
      <c r="C23" t="s">
        <v>59</v>
      </c>
      <c r="D23" s="56">
        <v>74</v>
      </c>
      <c r="F23" s="125"/>
      <c r="G23" s="84">
        <v>5440</v>
      </c>
      <c r="H23" s="125"/>
      <c r="I23" s="114" t="s">
        <v>332</v>
      </c>
      <c r="J23" s="114">
        <v>10</v>
      </c>
    </row>
    <row r="24" spans="1:10" x14ac:dyDescent="0.25">
      <c r="A24" s="34">
        <v>33</v>
      </c>
      <c r="B24" s="109" t="s">
        <v>31</v>
      </c>
      <c r="C24" t="s">
        <v>366</v>
      </c>
      <c r="D24" s="56">
        <v>24</v>
      </c>
      <c r="E24" s="56" t="s">
        <v>226</v>
      </c>
      <c r="F24" s="84">
        <v>1590</v>
      </c>
      <c r="G24" s="84">
        <v>7680</v>
      </c>
      <c r="H24" s="125"/>
      <c r="I24" s="56">
        <v>-21</v>
      </c>
      <c r="J24" s="56">
        <v>-21</v>
      </c>
    </row>
    <row r="25" spans="1:10" x14ac:dyDescent="0.25">
      <c r="A25" s="34">
        <v>50</v>
      </c>
      <c r="B25" s="109" t="s">
        <v>31</v>
      </c>
      <c r="C25" t="s">
        <v>389</v>
      </c>
      <c r="D25" s="56">
        <v>35</v>
      </c>
      <c r="F25" s="84"/>
      <c r="G25" s="84">
        <v>8160</v>
      </c>
      <c r="H25" s="125"/>
      <c r="I25" s="114" t="s">
        <v>364</v>
      </c>
    </row>
    <row r="26" spans="1:10" x14ac:dyDescent="0.25">
      <c r="A26" s="34">
        <v>37</v>
      </c>
      <c r="B26" s="109" t="s">
        <v>31</v>
      </c>
      <c r="C26" t="s">
        <v>370</v>
      </c>
      <c r="D26" s="56">
        <v>41</v>
      </c>
      <c r="F26" s="84"/>
      <c r="G26" s="84">
        <v>2040</v>
      </c>
      <c r="H26" s="125"/>
      <c r="I26" s="114" t="s">
        <v>356</v>
      </c>
      <c r="J26" s="56">
        <f>SUM(J1:J22)</f>
        <v>7</v>
      </c>
    </row>
    <row r="27" spans="1:10" x14ac:dyDescent="0.25">
      <c r="A27" s="34">
        <v>11</v>
      </c>
      <c r="B27" s="109" t="s">
        <v>31</v>
      </c>
      <c r="C27" t="s">
        <v>295</v>
      </c>
      <c r="D27" s="56">
        <v>88</v>
      </c>
      <c r="F27" s="84"/>
      <c r="G27" s="84">
        <v>3060</v>
      </c>
      <c r="H27" s="125"/>
      <c r="I27" s="56" t="s">
        <v>69</v>
      </c>
    </row>
    <row r="28" spans="1:10" x14ac:dyDescent="0.25">
      <c r="A28" s="34">
        <v>42</v>
      </c>
      <c r="B28" s="109" t="s">
        <v>31</v>
      </c>
      <c r="C28" t="s">
        <v>380</v>
      </c>
      <c r="D28" s="56">
        <v>75</v>
      </c>
      <c r="F28" s="84"/>
      <c r="G28" s="84">
        <v>2040</v>
      </c>
      <c r="H28" s="125"/>
      <c r="I28" s="114" t="s">
        <v>77</v>
      </c>
    </row>
    <row r="29" spans="1:10" x14ac:dyDescent="0.25">
      <c r="A29" s="34">
        <v>12</v>
      </c>
      <c r="B29" s="109" t="s">
        <v>31</v>
      </c>
      <c r="C29" t="s">
        <v>338</v>
      </c>
      <c r="D29" s="56">
        <v>63</v>
      </c>
      <c r="F29" s="125"/>
      <c r="G29" s="84">
        <v>1895</v>
      </c>
      <c r="H29" s="125"/>
      <c r="I29" s="114" t="s">
        <v>77</v>
      </c>
      <c r="J29" s="114"/>
    </row>
    <row r="30" spans="1:10" x14ac:dyDescent="0.25">
      <c r="A30" s="34">
        <v>13</v>
      </c>
      <c r="B30" s="109" t="s">
        <v>31</v>
      </c>
      <c r="C30" t="s">
        <v>339</v>
      </c>
      <c r="D30" s="56" t="s">
        <v>340</v>
      </c>
      <c r="F30" s="125"/>
      <c r="G30" s="84">
        <v>15360</v>
      </c>
      <c r="H30" s="125"/>
      <c r="I30" s="114" t="s">
        <v>353</v>
      </c>
      <c r="J30" s="114">
        <v>6</v>
      </c>
    </row>
    <row r="31" spans="1:10" x14ac:dyDescent="0.25">
      <c r="A31" s="34">
        <v>39</v>
      </c>
      <c r="B31" s="109" t="s">
        <v>31</v>
      </c>
      <c r="C31" t="s">
        <v>373</v>
      </c>
      <c r="D31" s="56">
        <v>90</v>
      </c>
      <c r="F31" s="84"/>
      <c r="G31" s="84">
        <v>3060</v>
      </c>
      <c r="H31" s="125"/>
      <c r="I31" s="114" t="s">
        <v>77</v>
      </c>
    </row>
    <row r="32" spans="1:10" x14ac:dyDescent="0.25">
      <c r="A32" s="34">
        <v>14</v>
      </c>
      <c r="B32" s="109" t="s">
        <v>31</v>
      </c>
      <c r="C32" t="s">
        <v>363</v>
      </c>
      <c r="D32" s="56">
        <v>45</v>
      </c>
      <c r="F32" s="84"/>
      <c r="G32" s="84">
        <v>9600</v>
      </c>
      <c r="H32" s="125"/>
      <c r="I32" s="114" t="s">
        <v>364</v>
      </c>
      <c r="J32" s="56">
        <v>18</v>
      </c>
    </row>
    <row r="33" spans="1:11" x14ac:dyDescent="0.25">
      <c r="A33" s="34">
        <v>32</v>
      </c>
      <c r="B33" s="109" t="s">
        <v>31</v>
      </c>
      <c r="C33" t="s">
        <v>365</v>
      </c>
      <c r="D33" s="56">
        <v>71</v>
      </c>
      <c r="F33" s="84"/>
      <c r="G33" s="84">
        <v>7680</v>
      </c>
      <c r="H33" s="125"/>
      <c r="I33" s="56" t="s">
        <v>69</v>
      </c>
    </row>
    <row r="34" spans="1:11" x14ac:dyDescent="0.25">
      <c r="A34" s="34">
        <v>15</v>
      </c>
      <c r="B34" s="109" t="s">
        <v>31</v>
      </c>
      <c r="C34" s="63" t="s">
        <v>341</v>
      </c>
      <c r="D34" s="153" t="s">
        <v>396</v>
      </c>
      <c r="E34" s="153"/>
      <c r="F34" s="125"/>
      <c r="G34" s="125">
        <v>11000</v>
      </c>
      <c r="H34" s="125"/>
      <c r="I34" s="154" t="s">
        <v>397</v>
      </c>
      <c r="J34" s="137">
        <v>8</v>
      </c>
      <c r="K34" s="61"/>
    </row>
    <row r="35" spans="1:11" x14ac:dyDescent="0.25">
      <c r="A35" s="34">
        <v>52</v>
      </c>
      <c r="B35" s="109" t="s">
        <v>31</v>
      </c>
      <c r="C35" t="s">
        <v>394</v>
      </c>
      <c r="D35" s="56">
        <v>77</v>
      </c>
      <c r="F35" s="84"/>
      <c r="G35" s="84">
        <v>2040</v>
      </c>
      <c r="H35" s="125"/>
      <c r="I35" s="114"/>
    </row>
    <row r="36" spans="1:11" x14ac:dyDescent="0.25">
      <c r="A36" s="34">
        <v>41</v>
      </c>
      <c r="B36" s="109" t="s">
        <v>31</v>
      </c>
      <c r="C36" t="s">
        <v>374</v>
      </c>
      <c r="D36" s="56">
        <v>98</v>
      </c>
      <c r="F36" s="84"/>
      <c r="G36" s="84">
        <v>9600</v>
      </c>
      <c r="H36" s="125">
        <v>695</v>
      </c>
      <c r="I36" s="114">
        <v>-6</v>
      </c>
    </row>
    <row r="37" spans="1:11" x14ac:dyDescent="0.25">
      <c r="A37" s="34">
        <v>49</v>
      </c>
      <c r="B37" s="109" t="s">
        <v>31</v>
      </c>
      <c r="C37" t="s">
        <v>387</v>
      </c>
      <c r="D37" s="56">
        <v>69</v>
      </c>
      <c r="F37" s="84"/>
      <c r="G37" s="84">
        <v>4080</v>
      </c>
      <c r="H37" s="125" t="s">
        <v>388</v>
      </c>
      <c r="I37" s="114" t="s">
        <v>77</v>
      </c>
    </row>
    <row r="38" spans="1:11" x14ac:dyDescent="0.25">
      <c r="A38" s="34">
        <v>16</v>
      </c>
      <c r="B38" s="109" t="s">
        <v>31</v>
      </c>
      <c r="C38" t="s">
        <v>342</v>
      </c>
      <c r="D38" s="56">
        <v>46</v>
      </c>
      <c r="F38" s="125"/>
      <c r="G38" s="84">
        <v>5440</v>
      </c>
      <c r="H38" s="125"/>
      <c r="I38" s="114" t="s">
        <v>354</v>
      </c>
      <c r="J38" s="114">
        <v>-8</v>
      </c>
    </row>
    <row r="39" spans="1:11" x14ac:dyDescent="0.25">
      <c r="A39" s="34">
        <v>45</v>
      </c>
      <c r="B39" s="109" t="s">
        <v>31</v>
      </c>
      <c r="C39" t="s">
        <v>384</v>
      </c>
      <c r="D39" s="56">
        <v>11</v>
      </c>
      <c r="F39" s="84"/>
      <c r="G39" s="84">
        <v>3840</v>
      </c>
      <c r="H39" s="125"/>
      <c r="I39" s="114">
        <v>-12</v>
      </c>
    </row>
    <row r="40" spans="1:11" x14ac:dyDescent="0.25">
      <c r="A40" s="34">
        <v>34</v>
      </c>
      <c r="B40" s="109" t="s">
        <v>31</v>
      </c>
      <c r="C40" t="s">
        <v>91</v>
      </c>
      <c r="D40" s="56">
        <v>31</v>
      </c>
      <c r="F40" s="84"/>
      <c r="G40" s="84">
        <v>18960</v>
      </c>
      <c r="H40" s="125"/>
      <c r="I40" s="114" t="s">
        <v>398</v>
      </c>
    </row>
    <row r="41" spans="1:11" x14ac:dyDescent="0.25">
      <c r="A41" s="34">
        <v>17</v>
      </c>
      <c r="B41" s="109" t="s">
        <v>31</v>
      </c>
      <c r="C41" t="s">
        <v>361</v>
      </c>
      <c r="D41" s="56">
        <v>75</v>
      </c>
      <c r="F41" s="84"/>
      <c r="G41" s="84"/>
      <c r="H41" s="125"/>
      <c r="I41" s="56" t="s">
        <v>261</v>
      </c>
      <c r="K41" t="s">
        <v>379</v>
      </c>
    </row>
    <row r="42" spans="1:11" x14ac:dyDescent="0.25">
      <c r="A42" s="34">
        <v>18</v>
      </c>
      <c r="B42" s="109" t="s">
        <v>31</v>
      </c>
      <c r="C42" t="s">
        <v>343</v>
      </c>
      <c r="D42" s="56">
        <v>87</v>
      </c>
      <c r="F42" s="125"/>
      <c r="G42" s="84">
        <v>3060</v>
      </c>
      <c r="H42" s="125">
        <v>695</v>
      </c>
      <c r="I42" s="114" t="s">
        <v>69</v>
      </c>
      <c r="J42" s="114"/>
    </row>
    <row r="43" spans="1:11" x14ac:dyDescent="0.25">
      <c r="A43" s="34">
        <v>19</v>
      </c>
      <c r="B43" s="109" t="s">
        <v>31</v>
      </c>
      <c r="C43" t="s">
        <v>345</v>
      </c>
      <c r="D43" s="56">
        <v>85</v>
      </c>
      <c r="F43" s="125"/>
      <c r="G43" s="84">
        <v>9600</v>
      </c>
      <c r="H43" s="125"/>
      <c r="I43" s="114" t="s">
        <v>355</v>
      </c>
      <c r="J43" s="114">
        <v>-2</v>
      </c>
    </row>
    <row r="44" spans="1:11" x14ac:dyDescent="0.25">
      <c r="A44" s="34">
        <v>20</v>
      </c>
      <c r="B44" s="109" t="s">
        <v>31</v>
      </c>
      <c r="C44" t="s">
        <v>316</v>
      </c>
      <c r="D44" s="56">
        <v>84</v>
      </c>
      <c r="F44" s="84"/>
      <c r="G44" s="84">
        <v>7680</v>
      </c>
      <c r="H44" s="125"/>
      <c r="I44" s="56" t="s">
        <v>69</v>
      </c>
    </row>
    <row r="45" spans="1:11" x14ac:dyDescent="0.25">
      <c r="A45" s="34">
        <v>21</v>
      </c>
      <c r="B45" s="109" t="s">
        <v>31</v>
      </c>
      <c r="C45" t="s">
        <v>346</v>
      </c>
      <c r="D45" s="56">
        <v>44</v>
      </c>
      <c r="F45" s="125"/>
      <c r="G45" s="84">
        <v>2040</v>
      </c>
      <c r="H45" s="125"/>
      <c r="I45" s="114" t="s">
        <v>356</v>
      </c>
      <c r="J45" s="114">
        <v>2</v>
      </c>
    </row>
    <row r="46" spans="1:11" x14ac:dyDescent="0.25">
      <c r="A46" s="34">
        <v>22</v>
      </c>
      <c r="B46" s="109" t="s">
        <v>31</v>
      </c>
      <c r="C46" t="s">
        <v>347</v>
      </c>
      <c r="D46" s="56">
        <v>40</v>
      </c>
      <c r="F46" s="125"/>
      <c r="G46" s="84">
        <v>2040</v>
      </c>
      <c r="H46" s="84"/>
      <c r="I46" s="56" t="s">
        <v>69</v>
      </c>
      <c r="J46" s="119"/>
    </row>
    <row r="47" spans="1:11" x14ac:dyDescent="0.25">
      <c r="A47" s="34">
        <v>44</v>
      </c>
      <c r="B47" s="109" t="s">
        <v>31</v>
      </c>
      <c r="C47" t="s">
        <v>383</v>
      </c>
      <c r="D47" s="56">
        <v>53</v>
      </c>
      <c r="F47" s="84"/>
      <c r="G47" s="84">
        <v>6400</v>
      </c>
      <c r="H47" s="125">
        <v>695</v>
      </c>
      <c r="I47" s="114"/>
    </row>
    <row r="48" spans="1:11" x14ac:dyDescent="0.25">
      <c r="A48" s="34">
        <v>23</v>
      </c>
      <c r="B48" s="109" t="s">
        <v>31</v>
      </c>
      <c r="C48" t="s">
        <v>348</v>
      </c>
      <c r="D48" s="56">
        <v>39</v>
      </c>
      <c r="F48" s="84"/>
      <c r="G48" s="84">
        <v>2040</v>
      </c>
      <c r="H48" s="84"/>
      <c r="I48" s="114" t="s">
        <v>357</v>
      </c>
      <c r="J48" s="56">
        <v>-3</v>
      </c>
      <c r="K48">
        <v>2</v>
      </c>
    </row>
    <row r="49" spans="1:11" x14ac:dyDescent="0.25">
      <c r="A49" s="34">
        <v>24</v>
      </c>
      <c r="B49" s="109" t="s">
        <v>31</v>
      </c>
      <c r="C49" t="s">
        <v>360</v>
      </c>
      <c r="D49" s="56">
        <v>92</v>
      </c>
      <c r="F49" s="84"/>
      <c r="G49" s="84">
        <v>7680</v>
      </c>
      <c r="H49" s="125"/>
      <c r="I49" s="56" t="s">
        <v>69</v>
      </c>
    </row>
    <row r="50" spans="1:11" x14ac:dyDescent="0.25">
      <c r="A50" s="34">
        <v>38</v>
      </c>
      <c r="B50" s="109" t="s">
        <v>31</v>
      </c>
      <c r="C50" t="s">
        <v>95</v>
      </c>
      <c r="D50" s="56">
        <v>67</v>
      </c>
      <c r="F50" s="84"/>
      <c r="G50" s="84">
        <v>3060</v>
      </c>
      <c r="H50" s="125"/>
      <c r="I50" s="114" t="s">
        <v>371</v>
      </c>
    </row>
    <row r="51" spans="1:11" x14ac:dyDescent="0.25">
      <c r="A51" s="34">
        <v>35</v>
      </c>
      <c r="B51" s="109" t="s">
        <v>31</v>
      </c>
      <c r="C51" t="s">
        <v>368</v>
      </c>
      <c r="D51" s="56">
        <v>48</v>
      </c>
      <c r="F51" s="84"/>
      <c r="G51" s="84">
        <v>2040</v>
      </c>
      <c r="H51" s="125">
        <v>295</v>
      </c>
      <c r="I51" s="56" t="s">
        <v>77</v>
      </c>
    </row>
    <row r="52" spans="1:11" x14ac:dyDescent="0.25">
      <c r="A52" s="34">
        <v>40</v>
      </c>
      <c r="B52" s="109" t="s">
        <v>31</v>
      </c>
      <c r="C52" t="s">
        <v>400</v>
      </c>
      <c r="D52" s="56" t="s">
        <v>375</v>
      </c>
      <c r="F52" s="84"/>
      <c r="G52" s="84">
        <v>5760</v>
      </c>
      <c r="H52" s="125"/>
      <c r="I52" s="114" t="s">
        <v>353</v>
      </c>
    </row>
    <row r="53" spans="1:11" x14ac:dyDescent="0.25">
      <c r="A53" s="34">
        <v>25</v>
      </c>
      <c r="B53" s="109" t="s">
        <v>31</v>
      </c>
      <c r="C53" t="s">
        <v>349</v>
      </c>
      <c r="D53" s="56">
        <v>37</v>
      </c>
      <c r="F53" s="84"/>
      <c r="G53" s="84">
        <v>2040</v>
      </c>
      <c r="H53" s="84"/>
      <c r="I53" s="114" t="s">
        <v>69</v>
      </c>
      <c r="J53" s="114"/>
      <c r="K53">
        <v>1</v>
      </c>
    </row>
    <row r="54" spans="1:11" x14ac:dyDescent="0.25">
      <c r="A54" s="34">
        <v>26</v>
      </c>
      <c r="B54" s="109" t="s">
        <v>31</v>
      </c>
      <c r="C54" t="s">
        <v>98</v>
      </c>
      <c r="D54" s="56">
        <v>89</v>
      </c>
      <c r="F54" s="84"/>
      <c r="G54" s="84">
        <v>7680</v>
      </c>
      <c r="H54" s="84"/>
      <c r="I54" s="114" t="s">
        <v>358</v>
      </c>
      <c r="J54" s="114">
        <v>-6</v>
      </c>
      <c r="K54">
        <v>1</v>
      </c>
    </row>
    <row r="55" spans="1:11" x14ac:dyDescent="0.25">
      <c r="A55" s="34">
        <v>51</v>
      </c>
      <c r="B55" s="109" t="s">
        <v>31</v>
      </c>
      <c r="C55" t="s">
        <v>393</v>
      </c>
      <c r="D55" s="56">
        <v>76</v>
      </c>
      <c r="F55" s="84"/>
      <c r="G55" s="84">
        <v>2040</v>
      </c>
      <c r="H55" s="125"/>
      <c r="I55" s="114"/>
    </row>
    <row r="56" spans="1:11" x14ac:dyDescent="0.25">
      <c r="A56" s="34">
        <v>27</v>
      </c>
      <c r="B56" s="109" t="s">
        <v>31</v>
      </c>
      <c r="C56" t="s">
        <v>350</v>
      </c>
      <c r="D56" s="56">
        <v>62</v>
      </c>
      <c r="F56" s="84"/>
      <c r="G56" s="84">
        <v>2040</v>
      </c>
      <c r="H56" s="84"/>
      <c r="I56" s="114" t="s">
        <v>69</v>
      </c>
      <c r="J56" s="114"/>
      <c r="K56">
        <v>1</v>
      </c>
    </row>
    <row r="57" spans="1:11" x14ac:dyDescent="0.25">
      <c r="A57" s="34">
        <v>47</v>
      </c>
      <c r="B57" s="109" t="s">
        <v>31</v>
      </c>
      <c r="C57" t="s">
        <v>385</v>
      </c>
      <c r="D57" s="56">
        <v>72</v>
      </c>
      <c r="F57" s="84"/>
      <c r="G57" s="84">
        <v>2720</v>
      </c>
      <c r="H57" s="125"/>
      <c r="I57" s="114" t="s">
        <v>77</v>
      </c>
    </row>
    <row r="58" spans="1:11" x14ac:dyDescent="0.25">
      <c r="A58" s="34">
        <v>28</v>
      </c>
      <c r="B58" s="109" t="s">
        <v>31</v>
      </c>
      <c r="C58" t="s">
        <v>351</v>
      </c>
      <c r="D58" s="56">
        <v>49</v>
      </c>
      <c r="F58" s="84"/>
      <c r="G58" s="84">
        <v>2040</v>
      </c>
      <c r="H58" s="84"/>
      <c r="I58" s="114" t="s">
        <v>77</v>
      </c>
      <c r="J58" s="114"/>
      <c r="K58">
        <v>1</v>
      </c>
    </row>
    <row r="59" spans="1:11" x14ac:dyDescent="0.25">
      <c r="A59" s="34">
        <v>29</v>
      </c>
      <c r="B59" s="109" t="s">
        <v>31</v>
      </c>
      <c r="C59" t="s">
        <v>39</v>
      </c>
      <c r="D59" s="56">
        <v>66</v>
      </c>
      <c r="F59" s="84"/>
      <c r="G59" s="84">
        <v>7680</v>
      </c>
      <c r="H59" s="84"/>
      <c r="I59" s="114" t="s">
        <v>359</v>
      </c>
      <c r="J59" s="114">
        <v>12</v>
      </c>
    </row>
    <row r="60" spans="1:11" x14ac:dyDescent="0.25">
      <c r="A60" s="34">
        <v>46</v>
      </c>
      <c r="B60" s="109" t="s">
        <v>31</v>
      </c>
      <c r="C60" t="s">
        <v>158</v>
      </c>
      <c r="D60" s="56">
        <v>34</v>
      </c>
      <c r="F60" s="84"/>
      <c r="G60" s="84">
        <v>7680</v>
      </c>
      <c r="H60" s="125"/>
      <c r="I60" s="114"/>
    </row>
    <row r="61" spans="1:11" x14ac:dyDescent="0.25">
      <c r="A61" s="34">
        <v>30</v>
      </c>
      <c r="B61" s="109" t="s">
        <v>31</v>
      </c>
      <c r="C61" t="s">
        <v>290</v>
      </c>
      <c r="D61" s="56">
        <v>38</v>
      </c>
      <c r="F61" s="84"/>
      <c r="G61" s="84">
        <v>2040</v>
      </c>
      <c r="H61" s="125"/>
      <c r="I61" s="114" t="s">
        <v>353</v>
      </c>
      <c r="J61" s="56">
        <v>6</v>
      </c>
    </row>
    <row r="62" spans="1:11" x14ac:dyDescent="0.25">
      <c r="A62" s="34">
        <v>31</v>
      </c>
      <c r="B62" s="109" t="s">
        <v>31</v>
      </c>
      <c r="C62" t="s">
        <v>99</v>
      </c>
      <c r="D62" s="56">
        <v>54</v>
      </c>
      <c r="F62" s="84"/>
      <c r="G62" s="84">
        <v>6400</v>
      </c>
      <c r="H62" s="125"/>
      <c r="I62" s="56" t="s">
        <v>69</v>
      </c>
    </row>
    <row r="63" spans="1:11" x14ac:dyDescent="0.25">
      <c r="A63" s="34">
        <v>36</v>
      </c>
      <c r="B63" s="109" t="s">
        <v>31</v>
      </c>
      <c r="C63" t="s">
        <v>369</v>
      </c>
      <c r="D63" s="56">
        <v>18</v>
      </c>
      <c r="F63" s="84"/>
      <c r="G63" s="84">
        <v>4080</v>
      </c>
      <c r="H63" s="125"/>
      <c r="I63" s="56" t="s">
        <v>69</v>
      </c>
    </row>
    <row r="64" spans="1:11" x14ac:dyDescent="0.25">
      <c r="A64" s="34">
        <v>43</v>
      </c>
      <c r="B64" s="109" t="s">
        <v>31</v>
      </c>
      <c r="C64" t="s">
        <v>124</v>
      </c>
      <c r="D64" s="56" t="s">
        <v>94</v>
      </c>
      <c r="F64" s="84"/>
      <c r="G64" s="84">
        <v>2170</v>
      </c>
      <c r="H64" s="125"/>
      <c r="I64" s="114"/>
    </row>
    <row r="65" spans="1:9" customFormat="1" x14ac:dyDescent="0.25">
      <c r="A65" s="34">
        <v>53</v>
      </c>
      <c r="B65" s="109" t="s">
        <v>31</v>
      </c>
      <c r="C65" t="s">
        <v>310</v>
      </c>
      <c r="D65" s="56">
        <v>23</v>
      </c>
      <c r="E65" s="56"/>
      <c r="F65" s="84"/>
      <c r="G65" s="84">
        <v>2720</v>
      </c>
      <c r="H65" s="125"/>
      <c r="I65" s="114" t="s">
        <v>355</v>
      </c>
    </row>
    <row r="66" spans="1:9" customFormat="1" x14ac:dyDescent="0.25">
      <c r="A66" s="34">
        <v>54</v>
      </c>
      <c r="B66" s="109" t="s">
        <v>31</v>
      </c>
      <c r="C66" t="s">
        <v>401</v>
      </c>
      <c r="D66" s="56">
        <v>68</v>
      </c>
      <c r="E66" s="56"/>
      <c r="F66" s="84"/>
      <c r="G66" s="84">
        <v>3060</v>
      </c>
      <c r="H66" s="125"/>
      <c r="I66" s="114" t="s">
        <v>403</v>
      </c>
    </row>
    <row r="67" spans="1:9" customFormat="1" x14ac:dyDescent="0.25">
      <c r="A67" s="34">
        <v>55</v>
      </c>
      <c r="B67" s="109" t="s">
        <v>31</v>
      </c>
      <c r="C67" t="s">
        <v>402</v>
      </c>
      <c r="D67" s="56">
        <v>50</v>
      </c>
      <c r="E67" s="56"/>
      <c r="F67" s="84"/>
      <c r="G67" s="84">
        <v>2040</v>
      </c>
      <c r="H67" s="125"/>
      <c r="I67" s="114" t="s">
        <v>192</v>
      </c>
    </row>
    <row r="68" spans="1:9" customFormat="1" x14ac:dyDescent="0.25">
      <c r="A68" s="34">
        <v>56</v>
      </c>
      <c r="B68" s="109" t="s">
        <v>31</v>
      </c>
      <c r="C68" t="s">
        <v>411</v>
      </c>
      <c r="D68" s="56">
        <v>99</v>
      </c>
      <c r="E68" s="56"/>
      <c r="F68" s="84"/>
      <c r="G68" s="84">
        <v>5760</v>
      </c>
      <c r="H68" s="125"/>
      <c r="I68" s="114"/>
    </row>
    <row r="69" spans="1:9" customFormat="1" x14ac:dyDescent="0.25">
      <c r="A69" s="34">
        <v>57</v>
      </c>
      <c r="B69" s="109" t="s">
        <v>31</v>
      </c>
      <c r="C69" t="s">
        <v>412</v>
      </c>
      <c r="D69" s="56"/>
      <c r="E69" s="56"/>
      <c r="F69" s="84"/>
      <c r="G69" s="84">
        <v>2040</v>
      </c>
      <c r="H69" s="125"/>
      <c r="I69" s="114"/>
    </row>
    <row r="70" spans="1:9" customFormat="1" x14ac:dyDescent="0.25">
      <c r="A70" s="34">
        <v>58</v>
      </c>
      <c r="B70" s="109" t="s">
        <v>31</v>
      </c>
      <c r="C70" t="s">
        <v>413</v>
      </c>
      <c r="D70" s="56">
        <v>3</v>
      </c>
      <c r="E70" s="56"/>
      <c r="F70" s="84"/>
      <c r="G70" s="84">
        <v>4080</v>
      </c>
      <c r="H70" s="125"/>
      <c r="I70" s="114"/>
    </row>
    <row r="71" spans="1:9" customFormat="1" x14ac:dyDescent="0.25">
      <c r="A71" s="34">
        <v>59</v>
      </c>
      <c r="B71" s="109" t="s">
        <v>31</v>
      </c>
      <c r="C71" t="s">
        <v>414</v>
      </c>
      <c r="D71" s="56">
        <v>70</v>
      </c>
      <c r="E71" s="56"/>
      <c r="F71" s="84"/>
      <c r="G71" s="84">
        <v>4080</v>
      </c>
      <c r="H71" s="125"/>
      <c r="I71" s="114"/>
    </row>
    <row r="72" spans="1:9" customFormat="1" x14ac:dyDescent="0.25">
      <c r="A72" s="34">
        <v>60</v>
      </c>
      <c r="B72" s="109" t="s">
        <v>31</v>
      </c>
      <c r="C72" t="s">
        <v>415</v>
      </c>
      <c r="D72" s="56">
        <v>95</v>
      </c>
      <c r="E72" s="56"/>
      <c r="F72" s="84"/>
      <c r="G72" s="84">
        <v>18300</v>
      </c>
      <c r="H72" s="125"/>
      <c r="I72" s="114"/>
    </row>
    <row r="73" spans="1:9" customFormat="1" x14ac:dyDescent="0.25">
      <c r="A73" s="34">
        <v>61</v>
      </c>
      <c r="B73" s="109" t="s">
        <v>31</v>
      </c>
      <c r="C73" t="s">
        <v>433</v>
      </c>
      <c r="D73" s="56">
        <v>15</v>
      </c>
      <c r="E73" s="56"/>
      <c r="F73" s="84"/>
      <c r="G73" s="84">
        <v>2040</v>
      </c>
      <c r="H73" s="125"/>
      <c r="I73" s="114"/>
    </row>
    <row r="74" spans="1:9" customFormat="1" x14ac:dyDescent="0.25">
      <c r="A74" s="34">
        <v>62</v>
      </c>
      <c r="B74" s="109" t="s">
        <v>31</v>
      </c>
      <c r="C74" t="s">
        <v>434</v>
      </c>
      <c r="D74" s="56">
        <v>8</v>
      </c>
      <c r="E74" s="56"/>
      <c r="F74" s="84"/>
      <c r="G74" s="84">
        <v>8160</v>
      </c>
      <c r="H74" s="125"/>
      <c r="I74" s="114" t="s">
        <v>192</v>
      </c>
    </row>
    <row r="75" spans="1:9" customFormat="1" x14ac:dyDescent="0.25">
      <c r="A75" s="34">
        <v>63</v>
      </c>
      <c r="B75" s="109" t="s">
        <v>31</v>
      </c>
      <c r="C75" t="s">
        <v>436</v>
      </c>
      <c r="D75" s="56">
        <v>7</v>
      </c>
      <c r="E75" s="56"/>
      <c r="F75" s="84"/>
      <c r="G75" s="84">
        <v>4080</v>
      </c>
      <c r="H75" s="125"/>
      <c r="I75" s="114" t="s">
        <v>192</v>
      </c>
    </row>
    <row r="76" spans="1:9" customFormat="1" x14ac:dyDescent="0.25">
      <c r="A76" s="34"/>
      <c r="B76" s="109"/>
      <c r="C76" t="s">
        <v>438</v>
      </c>
      <c r="D76" s="56">
        <v>22</v>
      </c>
      <c r="E76" s="56"/>
      <c r="F76" s="84"/>
      <c r="G76" s="84">
        <v>2720</v>
      </c>
      <c r="H76" s="125"/>
      <c r="I76" s="114"/>
    </row>
    <row r="77" spans="1:9" customFormat="1" x14ac:dyDescent="0.25">
      <c r="A77" s="34"/>
      <c r="B77" s="109"/>
      <c r="D77" s="56"/>
      <c r="E77" s="56"/>
      <c r="F77" s="84"/>
      <c r="G77" s="84"/>
      <c r="H77" s="125"/>
      <c r="I77" s="114"/>
    </row>
    <row r="78" spans="1:9" customFormat="1" x14ac:dyDescent="0.25">
      <c r="B78" s="109" t="s">
        <v>399</v>
      </c>
      <c r="C78" t="s">
        <v>435</v>
      </c>
      <c r="D78" s="56">
        <v>78</v>
      </c>
      <c r="E78" s="56"/>
      <c r="F78" s="84"/>
      <c r="G78" s="84"/>
      <c r="H78" s="125"/>
      <c r="I78" s="114"/>
    </row>
    <row r="79" spans="1:9" customFormat="1" x14ac:dyDescent="0.25">
      <c r="A79" s="34">
        <v>61</v>
      </c>
      <c r="B79" s="109" t="s">
        <v>399</v>
      </c>
      <c r="C79" t="s">
        <v>395</v>
      </c>
      <c r="D79" s="56">
        <v>47</v>
      </c>
      <c r="E79" s="56"/>
      <c r="F79" s="84"/>
      <c r="G79" s="84">
        <v>0</v>
      </c>
      <c r="H79" s="125"/>
      <c r="I79" s="114"/>
    </row>
    <row r="80" spans="1:9" customFormat="1" x14ac:dyDescent="0.25">
      <c r="B80" s="109" t="s">
        <v>244</v>
      </c>
      <c r="C80" t="s">
        <v>390</v>
      </c>
      <c r="D80" s="56"/>
      <c r="E80" s="56"/>
      <c r="F80" s="84"/>
      <c r="G80" s="84"/>
      <c r="H80" s="125" t="s">
        <v>391</v>
      </c>
      <c r="I80" s="114"/>
    </row>
    <row r="81" spans="1:11" x14ac:dyDescent="0.25">
      <c r="B81" s="109" t="s">
        <v>377</v>
      </c>
      <c r="C81" t="s">
        <v>376</v>
      </c>
      <c r="F81" s="84"/>
      <c r="G81" s="84"/>
      <c r="H81" s="125">
        <v>895</v>
      </c>
    </row>
    <row r="82" spans="1:11" x14ac:dyDescent="0.25">
      <c r="A82" s="34">
        <v>62</v>
      </c>
      <c r="B82" s="109" t="s">
        <v>367</v>
      </c>
      <c r="C82" t="s">
        <v>23</v>
      </c>
      <c r="D82" s="56">
        <v>78</v>
      </c>
      <c r="F82" s="125"/>
      <c r="G82" s="84">
        <v>0</v>
      </c>
      <c r="H82" s="125"/>
      <c r="I82" s="114" t="s">
        <v>69</v>
      </c>
      <c r="J82" s="114"/>
    </row>
    <row r="83" spans="1:11" x14ac:dyDescent="0.25">
      <c r="A83" s="34">
        <v>63</v>
      </c>
      <c r="B83" s="109" t="s">
        <v>367</v>
      </c>
      <c r="C83" t="s">
        <v>335</v>
      </c>
      <c r="D83" s="56">
        <v>77</v>
      </c>
      <c r="F83" s="125"/>
      <c r="G83" s="84">
        <v>680</v>
      </c>
      <c r="H83" s="84">
        <v>350</v>
      </c>
    </row>
    <row r="84" spans="1:11" x14ac:dyDescent="0.25">
      <c r="A84" s="34">
        <v>64</v>
      </c>
      <c r="B84" s="109" t="s">
        <v>367</v>
      </c>
      <c r="C84" t="s">
        <v>336</v>
      </c>
      <c r="D84" s="56">
        <v>26</v>
      </c>
      <c r="F84" s="125"/>
      <c r="G84" s="84">
        <v>3400</v>
      </c>
      <c r="H84" s="84"/>
    </row>
    <row r="85" spans="1:11" x14ac:dyDescent="0.25">
      <c r="A85" s="34">
        <v>65</v>
      </c>
      <c r="B85" s="109" t="s">
        <v>367</v>
      </c>
      <c r="C85" t="s">
        <v>337</v>
      </c>
      <c r="D85" s="56">
        <v>21</v>
      </c>
      <c r="F85" s="125"/>
      <c r="G85" s="84">
        <v>2720</v>
      </c>
      <c r="H85" s="84"/>
    </row>
    <row r="86" spans="1:11" x14ac:dyDescent="0.25">
      <c r="A86" s="34"/>
      <c r="B86" s="109" t="s">
        <v>243</v>
      </c>
      <c r="C86" t="s">
        <v>392</v>
      </c>
      <c r="D86" s="56">
        <v>43</v>
      </c>
      <c r="F86" s="125"/>
      <c r="G86" s="84">
        <v>0</v>
      </c>
      <c r="H86" s="84"/>
    </row>
    <row r="87" spans="1:11" x14ac:dyDescent="0.25">
      <c r="A87" s="34"/>
      <c r="B87" s="109" t="s">
        <v>259</v>
      </c>
      <c r="C87" t="s">
        <v>437</v>
      </c>
      <c r="F87" s="125"/>
      <c r="G87" s="84"/>
      <c r="H87" s="84">
        <v>695</v>
      </c>
    </row>
    <row r="88" spans="1:11" x14ac:dyDescent="0.25">
      <c r="B88" s="109" t="s">
        <v>259</v>
      </c>
      <c r="C88" t="s">
        <v>344</v>
      </c>
      <c r="D88" s="56" t="s">
        <v>94</v>
      </c>
      <c r="F88" s="125"/>
      <c r="G88" s="84">
        <v>0</v>
      </c>
      <c r="H88" s="125"/>
      <c r="I88" s="114" t="s">
        <v>69</v>
      </c>
    </row>
    <row r="89" spans="1:11" x14ac:dyDescent="0.25">
      <c r="A89" s="20"/>
      <c r="B89" s="21"/>
      <c r="C89" s="22" t="s">
        <v>62</v>
      </c>
      <c r="D89" s="47"/>
      <c r="E89" s="47"/>
      <c r="F89" s="23">
        <f>SUM(F6:F82)</f>
        <v>10330</v>
      </c>
      <c r="G89" s="23">
        <f>SUM(G6:G88)</f>
        <v>477900</v>
      </c>
      <c r="H89" s="23">
        <f>SUM(H6:H88)</f>
        <v>5015</v>
      </c>
      <c r="I89" s="115"/>
      <c r="J89" s="115"/>
      <c r="K89" s="88"/>
    </row>
    <row r="90" spans="1:11" x14ac:dyDescent="0.25">
      <c r="F90" s="84"/>
      <c r="G90" s="84"/>
      <c r="H90" s="84"/>
    </row>
    <row r="91" spans="1:11" x14ac:dyDescent="0.25">
      <c r="F91" s="84"/>
      <c r="G91" s="84"/>
      <c r="H91" s="84"/>
    </row>
    <row r="92" spans="1:11" x14ac:dyDescent="0.25">
      <c r="H92" s="84"/>
    </row>
    <row r="93" spans="1:11" x14ac:dyDescent="0.25">
      <c r="F93" s="84"/>
    </row>
  </sheetData>
  <sortState xmlns:xlrd2="http://schemas.microsoft.com/office/spreadsheetml/2017/richdata2" ref="A20:K64">
    <sortCondition ref="C20:C64"/>
  </sortState>
  <pageMargins left="0.7" right="0.7" top="0.75" bottom="0.75" header="0.3" footer="0.3"/>
  <pageSetup paperSize="9" orientation="portrait" horizontalDpi="4294967293" verticalDpi="429496729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2019 UKIO</vt:lpstr>
      <vt:lpstr>2018 weekly</vt:lpstr>
      <vt:lpstr>Sheet2</vt:lpstr>
      <vt:lpstr>2017 weekly</vt:lpstr>
      <vt:lpstr>2016 weekly</vt:lpstr>
      <vt:lpstr>2015 weekly</vt:lpstr>
      <vt:lpstr>2015 exhib sales</vt:lpstr>
      <vt:lpstr>2014 weekly</vt:lpstr>
      <vt:lpstr>2014 exhib sales</vt:lpstr>
      <vt:lpstr>2013 weekly </vt:lpstr>
      <vt:lpstr>2013 exh sales</vt:lpstr>
      <vt:lpstr>2012 weekly figs</vt:lpstr>
      <vt:lpstr>sales report</vt:lpstr>
      <vt:lpstr>Marketing report 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Hugh</cp:lastModifiedBy>
  <cp:lastPrinted>2012-01-10T09:45:43Z</cp:lastPrinted>
  <dcterms:created xsi:type="dcterms:W3CDTF">2011-11-09T13:46:04Z</dcterms:created>
  <dcterms:modified xsi:type="dcterms:W3CDTF">2019-03-18T19:58:38Z</dcterms:modified>
</cp:coreProperties>
</file>